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 " sheetId="1" state="visible" r:id="rId2"/>
    <sheet name="Cronograma" sheetId="2" state="visible" r:id="rId3"/>
    <sheet name="BDI" sheetId="3" state="visible" r:id="rId4"/>
  </sheets>
  <definedNames>
    <definedName function="false" hidden="false" localSheetId="0" name="_xlnm.Print_Area" vbProcedure="false">'Orçamento '!$A$1:$M$99</definedName>
    <definedName function="false" hidden="false" localSheetId="0" name="_xlnm.Print_Titles" vbProcedure="false">'Orçamento '!$1:$15</definedName>
    <definedName function="false" hidden="false" name="A" vbProcedure="false">'Orçamento '!$C:$C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<sst xmlns="http://schemas.openxmlformats.org/spreadsheetml/2006/main" count="389" uniqueCount="239">
  <si>
    <t xml:space="preserve">Código Sinapi</t>
  </si>
  <si>
    <t xml:space="preserve">composição</t>
  </si>
  <si>
    <t xml:space="preserve">Valor unit.</t>
  </si>
  <si>
    <t xml:space="preserve">ARMADOR COM ENCARGOS COMPLEMENTARES</t>
  </si>
  <si>
    <t xml:space="preserve">AZULEJISTA com encargos complementares</t>
  </si>
  <si>
    <t xml:space="preserve">AJUDANTE DE ARMADOR COM ENCARGOS COMPLEMENTARES</t>
  </si>
  <si>
    <t xml:space="preserve">Servente c/ encargos complem.</t>
  </si>
  <si>
    <t xml:space="preserve">Pedreiro c/ encargos complem.</t>
  </si>
  <si>
    <t xml:space="preserve">Encanador ou Bom Hidráulico c/ encargos compl</t>
  </si>
  <si>
    <t xml:space="preserve">Auxilliar Encanador ou Bom Hidráulico c/ encargos compl</t>
  </si>
  <si>
    <t xml:space="preserve">PLANILHA ORÇAMENTÁRIA - REFORMA DA GALERIA DOS PRESIDENTES</t>
  </si>
  <si>
    <t xml:space="preserve">Eletricista c encargos complementares</t>
  </si>
  <si>
    <t xml:space="preserve">Carpinteiro de formas c encargos complementares</t>
  </si>
  <si>
    <t xml:space="preserve">Telhadista c encargos complementares</t>
  </si>
  <si>
    <t xml:space="preserve">Obra: Reforma Galeria dos Presidentes</t>
  </si>
  <si>
    <t xml:space="preserve">BDI =</t>
  </si>
  <si>
    <t xml:space="preserve">Endereço: Rua Bento Martins 2619</t>
  </si>
  <si>
    <t xml:space="preserve">Área Construida: 43,01 m²</t>
  </si>
  <si>
    <t xml:space="preserve">Auxiliar de Eletricista c encargos complementares</t>
  </si>
  <si>
    <t xml:space="preserve">Cliente: Câmara de Vereadores </t>
  </si>
  <si>
    <r>
      <rPr>
        <b val="true"/>
        <sz val="12"/>
        <color rgb="FF000000"/>
        <rFont val="Arial"/>
        <family val="2"/>
        <charset val="1"/>
      </rPr>
      <t xml:space="preserve">Cidade: </t>
    </r>
    <r>
      <rPr>
        <sz val="12"/>
        <color rgb="FF000000"/>
        <rFont val="Arial"/>
        <family val="2"/>
        <charset val="1"/>
      </rPr>
      <t xml:space="preserve">Uruguaiana - RS</t>
    </r>
  </si>
  <si>
    <t xml:space="preserve">JULHO 2023</t>
  </si>
  <si>
    <t xml:space="preserve">Armador  c/ encargos complem.</t>
  </si>
  <si>
    <t xml:space="preserve">Código</t>
  </si>
  <si>
    <t xml:space="preserve">Item</t>
  </si>
  <si>
    <t xml:space="preserve">Descrição</t>
  </si>
  <si>
    <t xml:space="preserve">Qtd.</t>
  </si>
  <si>
    <t xml:space="preserve">Un</t>
  </si>
  <si>
    <t xml:space="preserve">Mão de Obra</t>
  </si>
  <si>
    <t xml:space="preserve">Material</t>
  </si>
  <si>
    <t xml:space="preserve">Sub-Total do Item sem BDI</t>
  </si>
  <si>
    <t xml:space="preserve">Total do Item sem BDI</t>
  </si>
  <si>
    <t xml:space="preserve">Valor BDI</t>
  </si>
  <si>
    <t xml:space="preserve">Total do Item com BDI</t>
  </si>
  <si>
    <t xml:space="preserve">Pintor c/ encargos complementares</t>
  </si>
  <si>
    <t xml:space="preserve">Custo Unitário</t>
  </si>
  <si>
    <t xml:space="preserve">Custo Parcial</t>
  </si>
  <si>
    <t xml:space="preserve">Ajudante especializado c/ encargos complementares</t>
  </si>
  <si>
    <t xml:space="preserve">SERRALHEIRO COM ENCARGOS COMPLEMENTARES</t>
  </si>
  <si>
    <t xml:space="preserve">SERVIÇOS PRELIMINARES</t>
  </si>
  <si>
    <t xml:space="preserve">1.1</t>
  </si>
  <si>
    <t xml:space="preserve">TAXAS/ CÓPIAS E DESPESAS LEGAIS</t>
  </si>
  <si>
    <t xml:space="preserve">Sinapi - C  103689</t>
  </si>
  <si>
    <t xml:space="preserve">.1</t>
  </si>
  <si>
    <t xml:space="preserve">FORNECIMENTO E INSTALAÇÃO DE PLACA DE OBRA COM CHAPA GALVANIZADA E ESTRUTURA DE MADEIRA. AF_03/2022_PS</t>
  </si>
  <si>
    <t xml:space="preserve">M2</t>
  </si>
  <si>
    <t xml:space="preserve">Seinfra - C 4581</t>
  </si>
  <si>
    <t xml:space="preserve">.2</t>
  </si>
  <si>
    <t xml:space="preserve">SERVIÇO DE IMPRESSÃO / ATUALIZAÇÃO DE PLANTAS EM CAMPO</t>
  </si>
  <si>
    <t xml:space="preserve">Mercado Local</t>
  </si>
  <si>
    <t xml:space="preserve">.3</t>
  </si>
  <si>
    <t xml:space="preserve">DESPESAS LEGAIS (LICENÇAS/ TAXAS DE OBRA)</t>
  </si>
  <si>
    <t xml:space="preserve">UN </t>
  </si>
  <si>
    <t xml:space="preserve">LIMPEZA DA OBRA</t>
  </si>
  <si>
    <t xml:space="preserve">Orse - C 2450</t>
  </si>
  <si>
    <t xml:space="preserve">LIMPEZA GERAL</t>
  </si>
  <si>
    <t xml:space="preserve">Sinapi - C  91384</t>
  </si>
  <si>
    <t xml:space="preserve">CAMINHÃO BASCULANTE 10 M3, TRUCADO CABINE SIMPLES, CARGA ÚTIL MÁXIMA 15.935 KG,INCLUSIVE CAÇAMBA METÁLICA - MATERIAIS NA OPERAÇÃO. AF_06/2014</t>
  </si>
  <si>
    <t xml:space="preserve">H</t>
  </si>
  <si>
    <t xml:space="preserve">Sinapi - C 99814</t>
  </si>
  <si>
    <t xml:space="preserve">LIMPEZA E TRATAMENTO DE ESTRUTURAS DE MADEIRA</t>
  </si>
  <si>
    <t xml:space="preserve">Seinfra - C 2532</t>
  </si>
  <si>
    <t xml:space="preserve">.4</t>
  </si>
  <si>
    <t xml:space="preserve">TRANSPORTE DE MATERIAL, EXCETO ROCHA EM CAMINHÃO ATÉ 20KM</t>
  </si>
  <si>
    <t xml:space="preserve">DEMOLIÇÕES E RETIRADAS</t>
  </si>
  <si>
    <t xml:space="preserve">2.1</t>
  </si>
  <si>
    <t xml:space="preserve">DEMOLIÇÃO DE DIVISÓRIAS</t>
  </si>
  <si>
    <t xml:space="preserve">Orse - C 0023</t>
  </si>
  <si>
    <t xml:space="preserve">3.1</t>
  </si>
  <si>
    <t xml:space="preserve">REMOÇÃO DE ESQUADRIAS</t>
  </si>
  <si>
    <t xml:space="preserve">Orse - C 0031</t>
  </si>
  <si>
    <t xml:space="preserve">REMOÇÃO DE ESQUADRIA DE MADEIRA, COM OU SEM BATENTE</t>
  </si>
  <si>
    <t xml:space="preserve">3.2</t>
  </si>
  <si>
    <t xml:space="preserve">RETIRADA DE PONTOS ELÉTRICOS</t>
  </si>
  <si>
    <t xml:space="preserve">Orse - C 0040</t>
  </si>
  <si>
    <t xml:space="preserve">REMOÇÃO DE LUMINÁRIA</t>
  </si>
  <si>
    <t xml:space="preserve">3.3</t>
  </si>
  <si>
    <t xml:space="preserve">RETIRADA DE QUADROS, PARAFUSOS E ITENS PPCI (COM INSTALAÇÃO NOVA)</t>
  </si>
  <si>
    <t xml:space="preserve">Comp. -C 11101</t>
  </si>
  <si>
    <t xml:space="preserve">RETIRADA DOS QUADROS DOS PRESIDENTES</t>
  </si>
  <si>
    <t xml:space="preserve">RETIRADA DE CAIXA DE INCÊNDIO, QUADROS, ACESSÓRIOS (COM INSTALAÇÃO NOVA)</t>
  </si>
  <si>
    <t xml:space="preserve">3.4</t>
  </si>
  <si>
    <t xml:space="preserve">RETIRADA DE RODAMEIO</t>
  </si>
  <si>
    <t xml:space="preserve">Orse - C 10235</t>
  </si>
  <si>
    <t xml:space="preserve">RETIRADA DE RODAMEIO DE MADEIRA </t>
  </si>
  <si>
    <t xml:space="preserve">M</t>
  </si>
  <si>
    <t xml:space="preserve">3.5</t>
  </si>
  <si>
    <t xml:space="preserve">RETIRADA DE RAMPA COM INSTALAÇÃO DE NOVA</t>
  </si>
  <si>
    <t xml:space="preserve">Orse - C 12214</t>
  </si>
  <si>
    <t xml:space="preserve">RAMPA PADRÃO PARA ACESSO DE DEFICIENTES A PASSEIO PÚBLICO, EM CONCRETO SIMPLES FCK=25MPA, DESEMPOLADA, COM PINTURA INDICATIVA EM NOVACOR, 02 DEMÃOS</t>
  </si>
  <si>
    <t xml:space="preserve">3.6</t>
  </si>
  <si>
    <t xml:space="preserve">RETIRADA DE FITA ANTIDERRAPANTE</t>
  </si>
  <si>
    <t xml:space="preserve">RETIRADA DE CAIXA FITA ANTIDERRAPANTE</t>
  </si>
  <si>
    <t xml:space="preserve">LONA PARA PROTEÇÃO PISO</t>
  </si>
  <si>
    <t xml:space="preserve">Orse - C3642</t>
  </si>
  <si>
    <t xml:space="preserve">LONA PLÁSTICA PRETA (TROCA DURANTE A OBRA)</t>
  </si>
  <si>
    <t xml:space="preserve">ESQUADRIAS</t>
  </si>
  <si>
    <t xml:space="preserve">5.1</t>
  </si>
  <si>
    <t xml:space="preserve">PORTAS E JANELAS</t>
  </si>
  <si>
    <t xml:space="preserve">Sinapi -C 90850</t>
  </si>
  <si>
    <t xml:space="preserve">KIT DE PORTA DE MADEIRA PARA PINTURA, SEMI-OCA, PADRÃO MÉDIO, 90X210CM, ESPESSURA DE 3,5CM, ITENS INCLUSOS: DOBRADIÇAS, MONTAGEM E INSTALAÇÃO DO BATENTE, SEM FECHADURA - FORNECIMENTO E INSTALAÇÃO.</t>
  </si>
  <si>
    <t xml:space="preserve">FORROS, ESQUADRIAS, ESCADAS E RODAPÉS</t>
  </si>
  <si>
    <t xml:space="preserve">Sinapi -C 102214</t>
  </si>
  <si>
    <t xml:space="preserve">PINTURA VERNIZ (INCOLOR) ALQUÍDICO EM MADEIRA, USO INTERNO, 2 DEMÃOS. AF_01/2021</t>
  </si>
  <si>
    <t xml:space="preserve">Sinapi - C 12815</t>
  </si>
  <si>
    <t xml:space="preserve">FITA CREPE ROLO DE 25 MM X 50 M UN CR 11,85</t>
  </si>
  <si>
    <t xml:space="preserve">INSTALAÇÕES ELÉTRICAS</t>
  </si>
  <si>
    <t xml:space="preserve">7.1</t>
  </si>
  <si>
    <t xml:space="preserve">LUMINÁRIAS</t>
  </si>
  <si>
    <t xml:space="preserve">Orse - C0417</t>
  </si>
  <si>
    <t xml:space="preserve">FIO FLEXÍVEL 2 X 1,5MM2 (PARALELO OU TORCIDO)</t>
  </si>
  <si>
    <t xml:space="preserve">Orse - C11953</t>
  </si>
  <si>
    <t xml:space="preserve">LUMINÁRIA TIPO SPOT DE EMBUTIR ER05-E ABALUX OU SIMILAR, COM LÂMPADA MR16</t>
  </si>
  <si>
    <t xml:space="preserve">Composição </t>
  </si>
  <si>
    <t xml:space="preserve">TRILHO ELETRIFICADO PARA SPOT 1,20M</t>
  </si>
  <si>
    <t xml:space="preserve">SPOT LUMINÁRIA PAR20 PARA TRILHO</t>
  </si>
  <si>
    <t xml:space="preserve">Orse - C12092</t>
  </si>
  <si>
    <t xml:space="preserve">.5</t>
  </si>
  <si>
    <t xml:space="preserve">LUMINÁRIA TIPO SPOT DE EMBUTIR DA ABALUX OU SIMILAR PARA LÂMPADA PAR 20</t>
  </si>
  <si>
    <t xml:space="preserve">Orse - C9628</t>
  </si>
  <si>
    <t xml:space="preserve">.6</t>
  </si>
  <si>
    <t xml:space="preserve">LUMINÁRIA PLAFON RETANGULAR DE EMBUTIR</t>
  </si>
  <si>
    <t xml:space="preserve">Sinapi - C 38068</t>
  </si>
  <si>
    <t xml:space="preserve">.7</t>
  </si>
  <si>
    <t xml:space="preserve">INTERRUPTORES SIMPLES (2 MODULOS) 10A, 250V, CONJUNTO MONTADO PARA EMBUTIR 4" UN 16,15
X 2" (PLACA + SUPORTE + MODULOS)</t>
  </si>
  <si>
    <t xml:space="preserve">Sinapi - C 91993</t>
  </si>
  <si>
    <t xml:space="preserve">.8</t>
  </si>
  <si>
    <t xml:space="preserve">TOMADA ALTA DE EMBUTIR (1 MÓDULO), 2P+T 20 A, INCLUINDO SUPORTE E PLACAFORNECIMENTO E INSTALAÇÃO. AF_03/2023</t>
  </si>
  <si>
    <t xml:space="preserve">ALVENARIAS, REVESTIMENTOS, E ACABAMENTOS</t>
  </si>
  <si>
    <t xml:space="preserve">Sinapi - C 96361</t>
  </si>
  <si>
    <t xml:space="preserve">PAREDE COM PLACAS DE GESSO ACARTONADO (DRYWALL), PARA USO INTERNO, COM DUAS FACES SIMPLES E ESTRUTURA METÁLICA COM GUIAS DUPLAS, COM VÃOS. AF_06/2017_PS</t>
  </si>
  <si>
    <t xml:space="preserve">Orse - C2291</t>
  </si>
  <si>
    <t xml:space="preserve">PINTURA PARA INTERIORES, SOBRE PAREDES OU TETOS, COM LIXAMENTO, APLICAÇÃO DE 01 DEMÃO DE LÍQUIDO SELADOR, 02 DEMÃOS DE MASSA CORRIDA E 02 DEMÃOS DE TINTA PVA LATEX CONVENCIONAL PARA INTERIORES</t>
  </si>
  <si>
    <t xml:space="preserve">Sinapi - C 101738</t>
  </si>
  <si>
    <t xml:space="preserve">RODAPÉ EM MADEIRA, ALTURA 7CM, FIXADO COM COLA. AF_09/2020</t>
  </si>
  <si>
    <t xml:space="preserve">Orse - C3314</t>
  </si>
  <si>
    <t xml:space="preserve">REBOCO OU EMBOÇO INTERNO, DE PAREDE, COM ARGAMASSA TRAÇO T6 - 1:2:10 (CIMENTO / CAL / AREIA), ESPESSURA 1,5 CM</t>
  </si>
  <si>
    <t xml:space="preserve">RAMPA E ESCADA</t>
  </si>
  <si>
    <t xml:space="preserve">Sinapi - C 4806</t>
  </si>
  <si>
    <t xml:space="preserve">TESTEIRA ANTIDERRAPANTE PARA PISO VINILICO *5 X 2,5* CM, E = 2 MM</t>
  </si>
  <si>
    <t xml:space="preserve">Sinapi - C 6178</t>
  </si>
  <si>
    <t xml:space="preserve">TABUA DE MADEIRA PARA PISO, CUMARU/IPE CHAMPANHE OU EQUIVALENTE DA REGIAO, M2 271,11
ENCAIXE MACHO/FEMEA, *10 X 2* CM</t>
  </si>
  <si>
    <t xml:space="preserve">M²</t>
  </si>
  <si>
    <t xml:space="preserve">PLACAS PPCI</t>
  </si>
  <si>
    <t xml:space="preserve">Sinapi - C 37560</t>
  </si>
  <si>
    <t xml:space="preserve">PLACA DE SINALIZACAO DE SEGURANCA CONTRA INCENDIO - ALERTA, TRIANGULAR, BASE UN 41,34
DE *30* CM, EM PVC *2* MM ANTI-CHAMAS (SIMBOLOS, CORES E PICTOGRAMAS CONFORME
NBR 16820)</t>
  </si>
  <si>
    <t xml:space="preserve">LETREIRO CÂMARA - GALERIA DOS EX-PRESIDENTES (24 simbolos) E PLACA PARA QR CODE</t>
  </si>
  <si>
    <t xml:space="preserve">Sinapi - CR 10851</t>
  </si>
  <si>
    <t xml:space="preserve">PLACA DE ACRILICO TRANSPARENTE ADESIVADA PARA SINALIZACAO DE PORTAS, BORDA UN 76,02
POLIDA, DE *25 X 8*, E = 6 MM (NAO INCLUI ACESSORIOS PARA FIXACAO) (PARA PLACA DA GALERIA)</t>
  </si>
  <si>
    <t xml:space="preserve">PLACA DE ACRILICO TRANSPARENTE ADESIVADA PARA SINALIZACAO DE PORTAS, BORDA UN 76,02
POLIDA, DE *25 X 8*, E = 6 MM (NAO INCLUI ACESSORIOS PARA FIXACAO) (PARA QR CODE EM TODAS AS PAREDES)</t>
  </si>
  <si>
    <t xml:space="preserve">ACOMPANHAMENTO DE OBRA</t>
  </si>
  <si>
    <t xml:space="preserve">Contrato</t>
  </si>
  <si>
    <t xml:space="preserve">ARQUITETO DE OBRA JUNIOR COM ENCARGOS COMPLEMENTARES</t>
  </si>
  <si>
    <t xml:space="preserve">h</t>
  </si>
  <si>
    <t xml:space="preserve">LIMPEZA FINAL DA OBRA</t>
  </si>
  <si>
    <t xml:space="preserve">Sinapi - C 9537</t>
  </si>
  <si>
    <t xml:space="preserve">LIMPEZA FINAL DA OBRA </t>
  </si>
  <si>
    <t xml:space="preserve">VALOR SEM BDI</t>
  </si>
  <si>
    <t xml:space="preserve">VALOR COM BDI</t>
  </si>
  <si>
    <t xml:space="preserve">RAFAELA BOLACEL ARNS</t>
  </si>
  <si>
    <t xml:space="preserve">CAU/RS A138582-8</t>
  </si>
  <si>
    <t xml:space="preserve">CRONOGRAMA FÍSICO FINANCEIRO -  REFORMA DA GALERIA DOS PRESIDENTES</t>
  </si>
  <si>
    <t xml:space="preserve">Uruguaiana /RS</t>
  </si>
  <si>
    <t xml:space="preserve">m²</t>
  </si>
  <si>
    <t xml:space="preserve">ITEM</t>
  </si>
  <si>
    <t xml:space="preserve">DESCRIÇÃO</t>
  </si>
  <si>
    <t xml:space="preserve">1º ETAPA</t>
  </si>
  <si>
    <t xml:space="preserve">2º ETAPA</t>
  </si>
  <si>
    <t xml:space="preserve">3º ETAPA</t>
  </si>
  <si>
    <t xml:space="preserve">TOTAL</t>
  </si>
  <si>
    <t xml:space="preserve">20 DIAS</t>
  </si>
  <si>
    <t xml:space="preserve">40 DIAS</t>
  </si>
  <si>
    <t xml:space="preserve">60 DIAS</t>
  </si>
  <si>
    <t xml:space="preserve">VALOR</t>
  </si>
  <si>
    <t xml:space="preserve">%</t>
  </si>
  <si>
    <t xml:space="preserve">Total da Etapa</t>
  </si>
  <si>
    <t xml:space="preserve">Total Acumulado</t>
  </si>
  <si>
    <t xml:space="preserve">MIN</t>
  </si>
  <si>
    <t xml:space="preserve">MED</t>
  </si>
  <si>
    <t xml:space="preserve">MAX</t>
  </si>
  <si>
    <t xml:space="preserve">Grau de Sigilo</t>
  </si>
  <si>
    <t xml:space="preserve">Construção e Reforma de Edifícios</t>
  </si>
  <si>
    <t xml:space="preserve">AC</t>
  </si>
  <si>
    <t xml:space="preserve">#PUBLICO</t>
  </si>
  <si>
    <t xml:space="preserve">SG</t>
  </si>
  <si>
    <t xml:space="preserve">R</t>
  </si>
  <si>
    <t xml:space="preserve">Nº TC/CR</t>
  </si>
  <si>
    <t xml:space="preserve">PROPONENTE / TOMADOR</t>
  </si>
  <si>
    <t xml:space="preserve">DF</t>
  </si>
  <si>
    <t xml:space="preserve">Câmara de Vereadores  de Uruguaiana / RS</t>
  </si>
  <si>
    <t xml:space="preserve">L</t>
  </si>
  <si>
    <t xml:space="preserve">BDI PAD</t>
  </si>
  <si>
    <t xml:space="preserve">OBJETO</t>
  </si>
  <si>
    <t xml:space="preserve">Construção de Praças Urbanas, Rodovias, Ferrovias e recapeamento e pavimentação de vias urbanas</t>
  </si>
  <si>
    <t xml:space="preserve">Reforma Galeria dos Presidentes</t>
  </si>
  <si>
    <t xml:space="preserve">TIPO DE OBRA DO EMPREENDIMENTO</t>
  </si>
  <si>
    <t xml:space="preserve">DESONERAÇÃO</t>
  </si>
  <si>
    <t xml:space="preserve">Não</t>
  </si>
  <si>
    <t xml:space="preserve">Conforme legislação tributária municipal, definir estimativa de percentual da base de cálculo para o ISS:</t>
  </si>
  <si>
    <t xml:space="preserve">Construção de Redes de Abastecimento de Água, Coleta de Esgoto</t>
  </si>
  <si>
    <t xml:space="preserve">Sobre a base de cálculo, definir a respectiva alíquota do ISS (entre 2% e 5%):</t>
  </si>
  <si>
    <t xml:space="preserve">Itens</t>
  </si>
  <si>
    <t xml:space="preserve">Siglas</t>
  </si>
  <si>
    <t xml:space="preserve">% Adotado</t>
  </si>
  <si>
    <t xml:space="preserve">Situação</t>
  </si>
  <si>
    <t xml:space="preserve">Intervalo de admissibilidade</t>
  </si>
  <si>
    <t xml:space="preserve">1º Quartil</t>
  </si>
  <si>
    <t xml:space="preserve">Médio</t>
  </si>
  <si>
    <t xml:space="preserve">3º Quartil</t>
  </si>
  <si>
    <t xml:space="preserve">-</t>
  </si>
  <si>
    <t xml:space="preserve">Construção e Manutenção de Estações e Redes de Distribuição de Energia Elétrica</t>
  </si>
  <si>
    <t xml:space="preserve">Tributos (impostos COFINS 3%, e  PIS 0,65%)</t>
  </si>
  <si>
    <t xml:space="preserve">CP</t>
  </si>
  <si>
    <t xml:space="preserve">Tributos (ISS, variável de acordo com o município)</t>
  </si>
  <si>
    <t xml:space="preserve">ISS</t>
  </si>
  <si>
    <t xml:space="preserve">Tributos (Contribuição Previdenciária - 0% ou 4,5%, conforme Lei 12.844/2013 - Desoneração)</t>
  </si>
  <si>
    <t xml:space="preserve">CPRB</t>
  </si>
  <si>
    <t xml:space="preserve">BDI SEM desoneração
(Fórmula Acórdão TCU)</t>
  </si>
  <si>
    <t xml:space="preserve">Obras Portuárias, Marítimas e Fluviais</t>
  </si>
  <si>
    <t xml:space="preserve">BDI COM desoneração</t>
  </si>
  <si>
    <t xml:space="preserve">BDI DES</t>
  </si>
  <si>
    <t xml:space="preserve">Os valores de BDI foram calculados com o emprego da fórmula:</t>
  </si>
  <si>
    <t xml:space="preserve"> - 1</t>
  </si>
  <si>
    <t xml:space="preserve">Observações:</t>
  </si>
  <si>
    <t xml:space="preserve">A base de cálculo do ISS é formada pelo serviço de mão de obra demonstrado nas Notas Fiscais. </t>
  </si>
  <si>
    <t xml:space="preserve">Fornecimento de Materiais e Equipamentos</t>
  </si>
  <si>
    <t xml:space="preserve">Local:</t>
  </si>
  <si>
    <t xml:space="preserve">Rio Grande/RS</t>
  </si>
  <si>
    <t xml:space="preserve">Data:</t>
  </si>
  <si>
    <t xml:space="preserve">21 de Julho de 2023</t>
  </si>
  <si>
    <t xml:space="preserve">Responsável Técnico</t>
  </si>
  <si>
    <t xml:space="preserve">Responsável Tomador</t>
  </si>
  <si>
    <t xml:space="preserve">Nome:</t>
  </si>
  <si>
    <t xml:space="preserve">Estudos e Projetos, Planos e Gerenciamento e outros correlatos</t>
  </si>
  <si>
    <t xml:space="preserve">K1</t>
  </si>
  <si>
    <t xml:space="preserve">Título:</t>
  </si>
  <si>
    <t xml:space="preserve">Cargo:</t>
  </si>
  <si>
    <t xml:space="preserve">K2</t>
  </si>
  <si>
    <t xml:space="preserve">K3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</si>
</sst>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_-&quot;R$ &quot;* #,##0.00_-;&quot;-R$ &quot;* #,##0.00_-;_-&quot;R$ &quot;* \-??_-;_-@_-"/>
    <numFmt numFmtId="166" formatCode="_(&quot;R$ &quot;* #,##0.00_);_(&quot;R$ &quot;* \(#,##0.00\);_(&quot;R$ &quot;* \-??_);_(@_)"/>
    <numFmt numFmtId="167" formatCode="0%"/>
    <numFmt numFmtId="168" formatCode="_(\$* #,##0.00_);_(\$* \(#,##0.00\);_(\$* \-??_);_(@_)"/>
    <numFmt numFmtId="169" formatCode="&quot;R$ &quot;#,##0.00"/>
    <numFmt numFmtId="170" formatCode="0.00%"/>
    <numFmt numFmtId="171" formatCode="@"/>
    <numFmt numFmtId="172" formatCode="0.00"/>
    <numFmt numFmtId="173" formatCode="_-[$R$-416]\ * #,##0.00_-;\-[$R$-416]\ * #,##0.00_-;_-[$R$-416]\ * \-??_-;_-@_-"/>
    <numFmt numFmtId="174" formatCode="_(* #,##0.00_);_(* \(#,##0.00\);_(* \-??_);_(@_)"/>
    <numFmt numFmtId="175" formatCode="_-* #,##0_-;\-* #,##0_-;_-* \-_-;_-@_-"/>
    <numFmt numFmtId="176" formatCode="#,##0.00"/>
    <numFmt numFmtId="177" formatCode="General"/>
    <numFmt numFmtId="178" formatCode="dd&quot; de &quot;mmmm&quot; de &quot;yyyy"/>
  </numFmts>
  <fonts count="3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4"/>
      <color rgb="FFFFFFFF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0"/>
      <color rgb="FF36363D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1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1"/>
      <color rgb="FFFF0000"/>
      <name val="Arial"/>
      <family val="2"/>
      <charset val="1"/>
    </font>
    <font>
      <sz val="11"/>
      <name val="Arial"/>
      <family val="2"/>
      <charset val="1"/>
    </font>
    <font>
      <sz val="13"/>
      <color rgb="FF000000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sz val="11"/>
      <color rgb="FFFFFFFF"/>
      <name val="Arial"/>
      <family val="2"/>
      <charset val="1"/>
    </font>
    <font>
      <b val="true"/>
      <sz val="11"/>
      <color rgb="FF0000FF"/>
      <name val="Arial"/>
      <family val="2"/>
      <charset val="1"/>
    </font>
    <font>
      <i val="true"/>
      <sz val="12"/>
      <name val="Calibri"/>
      <family val="2"/>
      <charset val="1"/>
    </font>
    <font>
      <i val="true"/>
      <u val="single"/>
      <sz val="12"/>
      <name val="Calibri"/>
      <family val="2"/>
      <charset val="1"/>
    </font>
    <font>
      <u val="single"/>
      <sz val="1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DD9C3"/>
        <bgColor rgb="FFD8D8D8"/>
      </patternFill>
    </fill>
    <fill>
      <patternFill patternType="solid">
        <fgColor rgb="FF604A7B"/>
        <bgColor rgb="FF333399"/>
      </patternFill>
    </fill>
    <fill>
      <patternFill patternType="solid">
        <fgColor rgb="FFB3A2C7"/>
        <bgColor rgb="FF95B3D7"/>
      </patternFill>
    </fill>
    <fill>
      <patternFill patternType="solid">
        <fgColor rgb="FFE6E0EC"/>
        <bgColor rgb="FFDCE5F1"/>
      </patternFill>
    </fill>
    <fill>
      <patternFill patternType="solid">
        <fgColor rgb="FFDCE5F1"/>
        <bgColor rgb="FFE6E0EC"/>
      </patternFill>
    </fill>
    <fill>
      <patternFill patternType="solid">
        <fgColor rgb="FFB9CCE4"/>
        <bgColor rgb="FFBFBFBF"/>
      </patternFill>
    </fill>
    <fill>
      <patternFill patternType="solid">
        <fgColor rgb="FFD8D8D8"/>
        <bgColor rgb="FFD9D9D9"/>
      </patternFill>
    </fill>
    <fill>
      <patternFill patternType="solid">
        <fgColor rgb="FF17375E"/>
        <bgColor rgb="FF36363D"/>
      </patternFill>
    </fill>
    <fill>
      <patternFill patternType="solid">
        <fgColor rgb="FFF2F2F2"/>
        <bgColor rgb="FFFFFFFF"/>
      </patternFill>
    </fill>
    <fill>
      <patternFill patternType="solid">
        <fgColor rgb="FFBFBFBF"/>
        <bgColor rgb="FFB9CCE4"/>
      </patternFill>
    </fill>
    <fill>
      <patternFill patternType="solid">
        <fgColor rgb="FFD9D9D9"/>
        <bgColor rgb="FFD8D8D8"/>
      </patternFill>
    </fill>
    <fill>
      <patternFill patternType="solid">
        <fgColor rgb="FF95B3D7"/>
        <bgColor rgb="FFB3A2C7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dotted"/>
      <top style="thin"/>
      <bottom style="dotted"/>
      <diagonal/>
    </border>
    <border diagonalUp="false" diagonalDown="false">
      <left style="dotted"/>
      <right style="dotted"/>
      <top style="thin"/>
      <bottom style="dotted"/>
      <diagonal/>
    </border>
    <border diagonalUp="false" diagonalDown="false">
      <left style="dotted"/>
      <right style="thin"/>
      <top style="thin"/>
      <bottom style="dotted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dotted"/>
      <right style="dotted"/>
      <top style="dotted"/>
      <bottom style="thin"/>
      <diagonal/>
    </border>
    <border diagonalUp="false" diagonalDown="false">
      <left style="dotted"/>
      <right style="thin"/>
      <top style="dotted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3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4" fontId="8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41" fontId="1" fillId="0" borderId="0" applyFont="true" applyBorder="false" applyAlignment="false" applyProtection="false"/>
    <xf numFmtId="168" fontId="8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center" textRotation="0" wrapText="false" indent="0" shrinkToFit="false"/>
    </xf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4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false">
      <alignment horizontal="general" vertical="center" textRotation="0" wrapText="false" indent="0" shrinkToFit="false"/>
    </xf>
    <xf numFmtId="167" fontId="6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StyleXfs>
  <cellXfs count="36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8" fillId="0" borderId="0" xfId="17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9" fillId="2" borderId="0" xfId="2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0" borderId="0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8" fillId="0" borderId="6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3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9" fillId="2" borderId="0" xfId="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7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4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" fillId="0" borderId="0" xfId="30" applyFont="false" applyBorder="false" applyAlignment="true" applyProtection="false">
      <alignment horizontal="general" vertical="top" textRotation="0" wrapText="false" indent="0" shrinkToFit="false"/>
      <protection locked="false" hidden="false"/>
    </xf>
    <xf numFmtId="171" fontId="13" fillId="5" borderId="13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71" fontId="13" fillId="5" borderId="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70" fontId="14" fillId="5" borderId="4" xfId="19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71" fontId="13" fillId="5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71" fontId="13" fillId="5" borderId="1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71" fontId="13" fillId="5" borderId="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6" fillId="5" borderId="0" xfId="30" applyFont="false" applyBorder="false" applyAlignment="false" applyProtection="false">
      <alignment horizontal="general" vertical="bottom" textRotation="0" wrapText="false" indent="0" shrinkToFit="false"/>
      <protection locked="false" hidden="false"/>
    </xf>
    <xf numFmtId="164" fontId="10" fillId="5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13" fillId="5" borderId="4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71" fontId="15" fillId="5" borderId="1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71" fontId="15" fillId="5" borderId="0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8" fillId="5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8" fillId="5" borderId="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5" borderId="1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5" borderId="0" xfId="17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1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7" fillId="5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7" fillId="5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17" fillId="5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7" fillId="5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7" fillId="5" borderId="1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7" fillId="5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5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6" fillId="5" borderId="0" xfId="30" applyFont="false" applyBorder="false" applyAlignment="true" applyProtection="false">
      <alignment horizontal="general" vertical="top" textRotation="0" wrapText="false" indent="0" shrinkToFit="false"/>
      <protection locked="false" hidden="false"/>
    </xf>
    <xf numFmtId="164" fontId="8" fillId="6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6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18" fillId="6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18" fillId="6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5" fillId="2" borderId="4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5" fillId="2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10" fillId="7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5" fillId="2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5" fillId="2" borderId="1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5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4" fillId="2" borderId="4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4" fillId="2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30" applyFont="true" applyBorder="false" applyAlignment="false" applyProtection="false">
      <alignment horizontal="general" vertical="bottom" textRotation="0" wrapText="false" indent="0" shrinkToFit="false"/>
      <protection locked="false" hidden="false"/>
    </xf>
    <xf numFmtId="172" fontId="1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8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8" fillId="8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13" fillId="8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8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8" fillId="8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8" fillId="8" borderId="1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8" fillId="8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4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3" fillId="2" borderId="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3" fillId="2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3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2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3" fillId="6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6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8" fillId="6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8" fillId="6" borderId="1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8" fillId="6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6" borderId="0" xfId="30" applyFont="false" applyBorder="false" applyAlignment="true" applyProtection="false">
      <alignment horizontal="general" vertical="top" textRotation="0" wrapText="false" indent="0" shrinkToFit="false"/>
      <protection locked="false" hidden="false"/>
    </xf>
    <xf numFmtId="164" fontId="11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2" fontId="11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0" xfId="30" applyFont="true" applyBorder="false" applyAlignment="false" applyProtection="false">
      <alignment horizontal="general" vertical="bottom" textRotation="0" wrapText="false" indent="0" shrinkToFit="false"/>
      <protection locked="false" hidden="false"/>
    </xf>
    <xf numFmtId="172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2" fontId="5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2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8" fillId="6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6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3" fillId="2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2" borderId="1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20" fillId="0" borderId="0" xfId="30" applyFont="true" applyBorder="false" applyAlignment="true" applyProtection="false">
      <alignment horizontal="general" vertical="top" textRotation="0" wrapText="false" indent="0" shrinkToFit="false"/>
      <protection locked="false" hidden="false"/>
    </xf>
    <xf numFmtId="164" fontId="0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30" applyFont="true" applyBorder="false" applyAlignment="false" applyProtection="false">
      <alignment horizontal="general" vertical="bottom" textRotation="0" wrapText="false" indent="0" shrinkToFit="false"/>
      <protection locked="false" hidden="false"/>
    </xf>
    <xf numFmtId="164" fontId="2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1" fillId="6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1" fillId="6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1" fillId="6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1" fillId="6" borderId="1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1" fillId="6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2" fillId="6" borderId="0" xfId="30" applyFont="true" applyBorder="false" applyAlignment="true" applyProtection="false">
      <alignment horizontal="general" vertical="top" textRotation="0" wrapText="false" indent="0" shrinkToFit="false"/>
      <protection locked="false" hidden="false"/>
    </xf>
    <xf numFmtId="164" fontId="4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5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3" fillId="2" borderId="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3" fillId="2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3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2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10" fillId="2" borderId="4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5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5" borderId="0" xfId="30" applyFont="true" applyBorder="false" applyAlignment="false" applyProtection="false">
      <alignment horizontal="general" vertical="bottom" textRotation="0" wrapText="false" indent="0" shrinkToFit="false"/>
      <protection locked="false" hidden="false"/>
    </xf>
    <xf numFmtId="164" fontId="10" fillId="5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2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5" fontId="25" fillId="5" borderId="0" xfId="3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5" fontId="26" fillId="6" borderId="0" xfId="3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5" fontId="26" fillId="0" borderId="0" xfId="3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2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26" fillId="0" borderId="0" xfId="3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0" xfId="30" applyFont="false" applyBorder="true" applyAlignment="true" applyProtection="false">
      <alignment horizontal="general" vertical="top" textRotation="0" wrapText="false" indent="0" shrinkToFit="false"/>
      <protection locked="false" hidden="false"/>
    </xf>
    <xf numFmtId="169" fontId="17" fillId="5" borderId="15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4" fillId="0" borderId="4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3" fillId="0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0" borderId="1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30" applyFont="true" applyBorder="true" applyAlignment="false" applyProtection="fals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30" applyFont="true" applyBorder="true" applyAlignment="false" applyProtection="false">
      <alignment horizontal="general" vertical="bottom" textRotation="0" wrapText="false" indent="0" shrinkToFit="false"/>
      <protection locked="false" hidden="false"/>
    </xf>
    <xf numFmtId="164" fontId="10" fillId="5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3" fillId="0" borderId="1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0" xfId="17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9" fontId="13" fillId="0" borderId="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3" fillId="0" borderId="1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4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4" fillId="0" borderId="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12" fillId="4" borderId="16" xfId="15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2" fillId="4" borderId="1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2" fillId="4" borderId="1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2" fillId="1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8" fillId="0" borderId="2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8" fillId="0" borderId="3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8" fillId="0" borderId="0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8" fillId="0" borderId="6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0" borderId="19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0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8" fillId="0" borderId="9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8" fillId="0" borderId="10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9" fillId="4" borderId="5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8" fillId="11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8" fillId="11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2" borderId="20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2" borderId="21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2" borderId="21" xfId="2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12" borderId="22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12" borderId="4" xfId="2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12" borderId="14" xfId="2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2" borderId="13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0" fillId="2" borderId="4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6" fillId="0" borderId="23" xfId="27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4" xfId="2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6" fillId="0" borderId="24" xfId="27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5" xfId="2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30" fillId="0" borderId="4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0" fillId="0" borderId="14" xfId="2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6" fillId="6" borderId="26" xfId="27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6" borderId="27" xfId="2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6" fillId="2" borderId="27" xfId="27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27" xfId="2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2" borderId="28" xfId="2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13" borderId="13" xfId="2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0" fillId="13" borderId="4" xfId="2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6" fillId="6" borderId="27" xfId="27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30" fillId="2" borderId="4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2" borderId="26" xfId="2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2" borderId="24" xfId="2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6" borderId="28" xfId="2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30" fillId="13" borderId="4" xfId="2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5" xfId="27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9" xfId="27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0" xfId="27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5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27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7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27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3" xfId="2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0" borderId="4" xfId="2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0" fillId="0" borderId="4" xfId="2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3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30" fillId="0" borderId="14" xfId="2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16" xfId="2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6" fillId="0" borderId="17" xfId="27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7" xfId="2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7" xfId="27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8" xfId="27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9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32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4" xfId="28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7" fillId="4" borderId="32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31" fillId="4" borderId="32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0" xfId="22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31" xfId="28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1" fillId="5" borderId="3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5" borderId="32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5" borderId="32" xfId="22" applyFont="true" applyBorder="true" applyAlignment="true" applyProtection="false">
      <alignment horizontal="center" vertical="top" textRotation="0" wrapText="true" indent="0" shrinkToFit="false"/>
      <protection locked="false" hidden="false"/>
    </xf>
    <xf numFmtId="164" fontId="7" fillId="0" borderId="4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7" fillId="5" borderId="4" xfId="22" applyFont="true" applyBorder="true" applyAlignment="true" applyProtection="false">
      <alignment horizontal="center" vertical="bottom" textRotation="0" wrapText="false" indent="0" shrinkToFit="false"/>
      <protection locked="false" hidden="false"/>
    </xf>
    <xf numFmtId="164" fontId="7" fillId="0" borderId="4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21" fillId="0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4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7" fontId="6" fillId="0" borderId="4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7" fontId="26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5" borderId="4" xfId="22" applyFont="true" applyBorder="true" applyAlignment="true" applyProtection="false">
      <alignment horizontal="center" vertical="center" textRotation="0" wrapText="false" indent="0" shrinkToFit="false"/>
      <protection locked="false" hidden="false"/>
    </xf>
    <xf numFmtId="176" fontId="21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6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4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26" fillId="0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14" borderId="4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14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6" fillId="14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19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0" fontId="32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6" fontId="21" fillId="0" borderId="0" xfId="22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2" fontId="33" fillId="0" borderId="19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2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0" xfId="22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77" fontId="34" fillId="0" borderId="0" xfId="22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7" fontId="35" fillId="0" borderId="0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4" fillId="0" borderId="0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7" fontId="34" fillId="0" borderId="0" xfId="22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6" fillId="0" borderId="0" xfId="22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77" fontId="31" fillId="0" borderId="4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6" fillId="5" borderId="4" xfId="2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6" fillId="0" borderId="0" xfId="22" applyFont="true" applyBorder="true" applyAlignment="true" applyProtection="false">
      <alignment horizontal="center" vertical="bottom" textRotation="0" wrapText="false" indent="0" shrinkToFit="false"/>
      <protection locked="false" hidden="false"/>
    </xf>
    <xf numFmtId="178" fontId="6" fillId="0" borderId="0" xfId="22" applyFont="true" applyBorder="true" applyAlignment="true" applyProtection="false">
      <alignment horizontal="right" vertical="bottom" textRotation="0" wrapText="false" indent="0" shrinkToFit="false"/>
      <protection locked="false" hidden="false"/>
    </xf>
    <xf numFmtId="164" fontId="21" fillId="0" borderId="33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0" xfId="22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9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28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71" fontId="6" fillId="0" borderId="0" xfId="22" applyFont="true" applyBorder="true" applyAlignment="true" applyProtection="false">
      <alignment horizontal="left" vertical="bottom" textRotation="0" wrapText="false" indent="0" shrinkToFit="false"/>
      <protection locked="fals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10" xfId="20"/>
    <cellStyle name="Moeda_Composicao BDI v2.1" xfId="21"/>
    <cellStyle name="Normal 2 2" xfId="22"/>
    <cellStyle name="Normal 28" xfId="23"/>
    <cellStyle name="Normal 36" xfId="24"/>
    <cellStyle name="Normal 4 2 2 2 5 2 3" xfId="25"/>
    <cellStyle name="Normal 43" xfId="26"/>
    <cellStyle name="Normal 46" xfId="27"/>
    <cellStyle name="Normal_FICHA DE VERIFICAÇÃO PRELIMINAR - Plano R" xfId="28"/>
    <cellStyle name="Porcentagem 10" xfId="29"/>
    <cellStyle name="Porcentagem 3 2 9 2 3" xfId="30"/>
  </cellStyles>
  <dxfs count="8">
    <dxf>
      <fill>
        <patternFill>
          <bgColor rgb="FFFFFF99"/>
        </patternFill>
      </fill>
    </dxf>
    <dxf>
      <font>
        <b val="1"/>
        <i val="0"/>
      </font>
      <fill>
        <patternFill>
          <bgColor rgb="FFFFCC99"/>
        </patternFill>
      </fill>
    </dxf>
    <dxf>
      <font>
        <b val="1"/>
        <i val="0"/>
        <color rgb="FF000000"/>
      </font>
      <fill>
        <patternFill>
          <bgColor rgb="FFFFCC99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b val="0"/>
        <color rgb="FFFFFFFF"/>
      </font>
      <fill>
        <patternFill>
          <bgColor rgb="00FFFFFF"/>
        </patternFill>
      </fill>
      <border diagonalUp="false" diagonalDown="false">
        <left/>
        <right/>
        <top/>
        <bottom/>
        <diagonal/>
      </border>
    </dxf>
    <dxf>
      <font>
        <b val="0"/>
        <color rgb="FFFF0000"/>
      </font>
      <border diagonalUp="false" diagonalDown="false">
        <left style="thin"/>
        <right style="thin"/>
        <top style="thin"/>
        <bottom style="thin"/>
        <diagonal/>
      </border>
    </dxf>
    <dxf>
      <font>
        <b val="0"/>
        <color rgb="FF008000"/>
      </font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  <dxf>
      <fill>
        <patternFill>
          <bgColor rgb="FFFFFF9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D8D8D8"/>
      <rgbColor rgb="FF993366"/>
      <rgbColor rgb="FFF2F2F2"/>
      <rgbColor rgb="FFDCE5F1"/>
      <rgbColor rgb="FF660066"/>
      <rgbColor rgb="FFFF8080"/>
      <rgbColor rgb="FF0066CC"/>
      <rgbColor rgb="FFB9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0EC"/>
      <rgbColor rgb="FFD9D9D9"/>
      <rgbColor rgb="FFFFFF99"/>
      <rgbColor rgb="FF95B3D7"/>
      <rgbColor rgb="FFDDD9C3"/>
      <rgbColor rgb="FFB3A2C7"/>
      <rgbColor rgb="FFFFCC99"/>
      <rgbColor rgb="FF3366FF"/>
      <rgbColor rgb="FF33CCCC"/>
      <rgbColor rgb="FF99CC00"/>
      <rgbColor rgb="FFFFCC00"/>
      <rgbColor rgb="FFFF9900"/>
      <rgbColor rgb="FFFF6600"/>
      <rgbColor rgb="FF604A7B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6363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59400</xdr:rowOff>
    </xdr:from>
    <xdr:to>
      <xdr:col>2</xdr:col>
      <xdr:colOff>3110040</xdr:colOff>
      <xdr:row>6</xdr:row>
      <xdr:rowOff>29160</xdr:rowOff>
    </xdr:to>
    <xdr:pic>
      <xdr:nvPicPr>
        <xdr:cNvPr id="0" name="Imagem 2" descr=" "/>
        <xdr:cNvPicPr/>
      </xdr:nvPicPr>
      <xdr:blipFill>
        <a:blip r:embed="rId1"/>
        <a:srcRect l="0" t="35823" r="1647" b="43594"/>
        <a:stretch/>
      </xdr:blipFill>
      <xdr:spPr>
        <a:xfrm>
          <a:off x="0" y="59400"/>
          <a:ext cx="4712760" cy="9414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12</xdr:col>
      <xdr:colOff>14760</xdr:colOff>
      <xdr:row>0</xdr:row>
      <xdr:rowOff>59400</xdr:rowOff>
    </xdr:from>
    <xdr:to>
      <xdr:col>12</xdr:col>
      <xdr:colOff>1221840</xdr:colOff>
      <xdr:row>6</xdr:row>
      <xdr:rowOff>73800</xdr:rowOff>
    </xdr:to>
    <xdr:pic>
      <xdr:nvPicPr>
        <xdr:cNvPr id="1" name="Imagem 3" descr=""/>
        <xdr:cNvPicPr/>
      </xdr:nvPicPr>
      <xdr:blipFill>
        <a:blip r:embed="rId2"/>
        <a:stretch/>
      </xdr:blipFill>
      <xdr:spPr>
        <a:xfrm>
          <a:off x="20466720" y="59400"/>
          <a:ext cx="1207080" cy="986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85680</xdr:colOff>
      <xdr:row>41</xdr:row>
      <xdr:rowOff>47520</xdr:rowOff>
    </xdr:from>
    <xdr:to>
      <xdr:col>1</xdr:col>
      <xdr:colOff>3228480</xdr:colOff>
      <xdr:row>46</xdr:row>
      <xdr:rowOff>94680</xdr:rowOff>
    </xdr:to>
    <xdr:pic>
      <xdr:nvPicPr>
        <xdr:cNvPr id="2" name="Imagem 3" descr=" "/>
        <xdr:cNvPicPr/>
      </xdr:nvPicPr>
      <xdr:blipFill>
        <a:blip r:embed="rId1"/>
        <a:srcRect l="0" t="35823" r="1647" b="43594"/>
        <a:stretch/>
      </xdr:blipFill>
      <xdr:spPr>
        <a:xfrm>
          <a:off x="85680" y="7648560"/>
          <a:ext cx="3754800" cy="90432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8</xdr:col>
      <xdr:colOff>0</xdr:colOff>
      <xdr:row>0</xdr:row>
      <xdr:rowOff>0</xdr:rowOff>
    </xdr:from>
    <xdr:to>
      <xdr:col>12</xdr:col>
      <xdr:colOff>104400</xdr:colOff>
      <xdr:row>3</xdr:row>
      <xdr:rowOff>28080</xdr:rowOff>
    </xdr:to>
    <xdr:pic>
      <xdr:nvPicPr>
        <xdr:cNvPr id="3" name="Imagem 3" descr=" "/>
        <xdr:cNvPicPr/>
      </xdr:nvPicPr>
      <xdr:blipFill>
        <a:blip r:embed="rId1"/>
        <a:srcRect l="0" t="35823" r="1647" b="43594"/>
        <a:stretch/>
      </xdr:blipFill>
      <xdr:spPr>
        <a:xfrm>
          <a:off x="0" y="0"/>
          <a:ext cx="3126960" cy="60912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36"/>
  <sheetViews>
    <sheetView showFormulas="false" showGridLines="true" showRowColHeaders="true" showZeros="true" rightToLeft="false" tabSelected="true" showOutlineSymbols="true" defaultGridColor="true" view="pageBreakPreview" topLeftCell="C1" colorId="64" zoomScale="64" zoomScaleNormal="70" zoomScalePageLayoutView="64" workbookViewId="0">
      <selection pane="topLeft" activeCell="T76" activeCellId="0" sqref="T76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10.85"/>
    <col collapsed="false" customWidth="true" hidden="false" outlineLevel="0" max="2" min="2" style="1" width="11.86"/>
    <col collapsed="false" customWidth="true" hidden="false" outlineLevel="0" max="3" min="3" style="1" width="115.28"/>
    <col collapsed="false" customWidth="true" hidden="false" outlineLevel="0" max="4" min="4" style="2" width="9.29"/>
    <col collapsed="false" customWidth="true" hidden="false" outlineLevel="0" max="5" min="5" style="2" width="7.57"/>
    <col collapsed="false" customWidth="true" hidden="false" outlineLevel="0" max="7" min="6" style="2" width="17.58"/>
    <col collapsed="false" customWidth="true" hidden="false" outlineLevel="0" max="8" min="8" style="3" width="17"/>
    <col collapsed="false" customWidth="true" hidden="false" outlineLevel="0" max="9" min="9" style="1" width="19.85"/>
    <col collapsed="false" customWidth="true" hidden="false" outlineLevel="0" max="10" min="10" style="1" width="18.71"/>
    <col collapsed="false" customWidth="true" hidden="false" outlineLevel="0" max="11" min="11" style="4" width="20.86"/>
    <col collapsed="false" customWidth="true" hidden="false" outlineLevel="0" max="12" min="12" style="4" width="23.42"/>
    <col collapsed="false" customWidth="true" hidden="false" outlineLevel="0" max="14" min="13" style="4" width="20.86"/>
    <col collapsed="false" customWidth="true" hidden="false" outlineLevel="0" max="15" min="15" style="1" width="13.14"/>
    <col collapsed="false" customWidth="true" hidden="false" outlineLevel="0" max="16" min="16" style="1" width="15.42"/>
    <col collapsed="false" customWidth="true" hidden="false" outlineLevel="0" max="17" min="17" style="1" width="43.29"/>
    <col collapsed="false" customWidth="false" hidden="false" outlineLevel="0" max="18" min="18" style="1" width="9.14"/>
    <col collapsed="false" customWidth="false" hidden="false" outlineLevel="0" max="19" min="19" style="5" width="9.14"/>
    <col collapsed="false" customWidth="true" hidden="false" outlineLevel="0" max="20" min="20" style="1" width="22.14"/>
    <col collapsed="false" customWidth="false" hidden="false" outlineLevel="0" max="1024" min="21" style="1" width="9.14"/>
  </cols>
  <sheetData>
    <row r="1" customFormat="false" ht="12.75" hidden="false" customHeight="true" outlineLevel="0" collapsed="false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9"/>
      <c r="P1" s="10" t="s">
        <v>0</v>
      </c>
      <c r="Q1" s="10" t="s">
        <v>1</v>
      </c>
      <c r="R1" s="10" t="s">
        <v>2</v>
      </c>
    </row>
    <row r="2" customFormat="false" ht="12.75" hidden="false" customHeight="true" outlineLevel="0" collapsed="false">
      <c r="A2" s="11"/>
      <c r="B2" s="9"/>
      <c r="C2" s="9"/>
      <c r="D2" s="9"/>
      <c r="E2" s="9"/>
      <c r="F2" s="9"/>
      <c r="G2" s="9"/>
      <c r="H2" s="9"/>
      <c r="I2" s="9"/>
      <c r="J2" s="12"/>
      <c r="K2" s="13"/>
      <c r="L2" s="13"/>
      <c r="M2" s="14"/>
      <c r="N2" s="13"/>
      <c r="P2" s="15" t="n">
        <v>88245</v>
      </c>
      <c r="Q2" s="16" t="s">
        <v>3</v>
      </c>
      <c r="R2" s="17" t="n">
        <v>25.61</v>
      </c>
      <c r="S2" s="5" t="n">
        <v>88256</v>
      </c>
      <c r="T2" s="1" t="s">
        <v>4</v>
      </c>
      <c r="U2" s="18" t="n">
        <v>25.67</v>
      </c>
    </row>
    <row r="3" customFormat="false" ht="12.75" hidden="false" customHeight="true" outlineLevel="0" collapsed="false">
      <c r="A3" s="11"/>
      <c r="B3" s="9"/>
      <c r="C3" s="9"/>
      <c r="D3" s="9"/>
      <c r="E3" s="9"/>
      <c r="F3" s="9"/>
      <c r="G3" s="19"/>
      <c r="H3" s="9"/>
      <c r="I3" s="9"/>
      <c r="J3" s="20"/>
      <c r="K3" s="13"/>
      <c r="L3" s="13"/>
      <c r="M3" s="14"/>
      <c r="N3" s="13"/>
      <c r="P3" s="15" t="n">
        <v>88238</v>
      </c>
      <c r="Q3" s="16" t="s">
        <v>5</v>
      </c>
      <c r="R3" s="17" t="n">
        <v>21.29</v>
      </c>
    </row>
    <row r="4" customFormat="false" ht="12.75" hidden="false" customHeight="true" outlineLevel="0" collapsed="false">
      <c r="A4" s="11"/>
      <c r="B4" s="9"/>
      <c r="C4" s="9"/>
      <c r="D4" s="9"/>
      <c r="E4" s="9"/>
      <c r="F4" s="9"/>
      <c r="G4" s="9"/>
      <c r="H4" s="9"/>
      <c r="I4" s="9"/>
      <c r="J4" s="21"/>
      <c r="K4" s="13"/>
      <c r="L4" s="13"/>
      <c r="M4" s="14"/>
      <c r="N4" s="13"/>
      <c r="P4" s="15" t="n">
        <v>88316</v>
      </c>
      <c r="Q4" s="22" t="s">
        <v>6</v>
      </c>
      <c r="R4" s="23" t="n">
        <v>21.3</v>
      </c>
    </row>
    <row r="5" customFormat="false" ht="12.75" hidden="false" customHeight="true" outlineLevel="0" collapsed="false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24"/>
      <c r="N5" s="9"/>
      <c r="P5" s="25" t="n">
        <v>88309</v>
      </c>
      <c r="Q5" s="26" t="s">
        <v>7</v>
      </c>
      <c r="R5" s="27" t="n">
        <v>25.81</v>
      </c>
    </row>
    <row r="6" customFormat="false" ht="12.75" hidden="false" customHeight="true" outlineLevel="0" collapsed="false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24"/>
      <c r="N6" s="9"/>
      <c r="P6" s="15" t="n">
        <v>88267</v>
      </c>
      <c r="Q6" s="22" t="s">
        <v>8</v>
      </c>
      <c r="R6" s="28" t="n">
        <v>27.39</v>
      </c>
    </row>
    <row r="7" customFormat="false" ht="12.75" hidden="false" customHeight="true" outlineLevel="0" collapsed="false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1"/>
      <c r="N7" s="9"/>
      <c r="P7" s="15" t="n">
        <v>88248</v>
      </c>
      <c r="Q7" s="22" t="s">
        <v>9</v>
      </c>
      <c r="R7" s="28" t="n">
        <v>23.95</v>
      </c>
    </row>
    <row r="8" customFormat="false" ht="12.75" hidden="false" customHeight="true" outlineLevel="0" collapsed="false">
      <c r="A8" s="32" t="s">
        <v>10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  <c r="P8" s="15" t="n">
        <v>88264</v>
      </c>
      <c r="Q8" s="22" t="s">
        <v>11</v>
      </c>
      <c r="R8" s="28" t="n">
        <v>27.65</v>
      </c>
    </row>
    <row r="9" customFormat="false" ht="12.75" hidden="false" customHeight="true" outlineLevel="0" collapsed="false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P9" s="15" t="n">
        <v>88262</v>
      </c>
      <c r="Q9" s="22" t="s">
        <v>12</v>
      </c>
      <c r="R9" s="23" t="n">
        <v>25.43</v>
      </c>
    </row>
    <row r="10" s="36" customFormat="true" ht="12.75" hidden="false" customHeight="true" outlineLevel="0" collapsed="false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P10" s="15" t="n">
        <v>88323</v>
      </c>
      <c r="Q10" s="22" t="s">
        <v>13</v>
      </c>
      <c r="R10" s="23" t="n">
        <v>25.16</v>
      </c>
      <c r="S10" s="5"/>
      <c r="T10" s="1"/>
      <c r="U10" s="1"/>
    </row>
    <row r="11" s="43" customFormat="true" ht="30.75" hidden="false" customHeight="true" outlineLevel="0" collapsed="false">
      <c r="A11" s="37" t="s">
        <v>14</v>
      </c>
      <c r="B11" s="37"/>
      <c r="C11" s="37"/>
      <c r="D11" s="37"/>
      <c r="E11" s="37"/>
      <c r="F11" s="38" t="s">
        <v>15</v>
      </c>
      <c r="G11" s="39" t="n">
        <f aca="false">BDI!N27</f>
        <v>0.2197</v>
      </c>
      <c r="H11" s="40" t="s">
        <v>16</v>
      </c>
      <c r="I11" s="40"/>
      <c r="J11" s="41" t="s">
        <v>17</v>
      </c>
      <c r="K11" s="41"/>
      <c r="L11" s="41"/>
      <c r="M11" s="41"/>
      <c r="N11" s="42"/>
      <c r="P11" s="44" t="n">
        <v>88247</v>
      </c>
      <c r="Q11" s="45" t="s">
        <v>18</v>
      </c>
      <c r="R11" s="46" t="n">
        <v>24.27</v>
      </c>
      <c r="S11" s="47"/>
    </row>
    <row r="12" s="43" customFormat="true" ht="15.75" hidden="false" customHeight="false" outlineLevel="0" collapsed="false">
      <c r="A12" s="37" t="s">
        <v>19</v>
      </c>
      <c r="B12" s="37"/>
      <c r="C12" s="37"/>
      <c r="D12" s="37"/>
      <c r="E12" s="37"/>
      <c r="F12" s="48"/>
      <c r="G12" s="48"/>
      <c r="H12" s="38" t="s">
        <v>20</v>
      </c>
      <c r="I12" s="38"/>
      <c r="J12" s="49" t="s">
        <v>21</v>
      </c>
      <c r="K12" s="49"/>
      <c r="L12" s="49"/>
      <c r="M12" s="49"/>
      <c r="N12" s="50"/>
      <c r="P12" s="44" t="n">
        <v>88245</v>
      </c>
      <c r="Q12" s="45" t="s">
        <v>22</v>
      </c>
      <c r="R12" s="46" t="n">
        <v>25.61</v>
      </c>
      <c r="S12" s="47"/>
    </row>
    <row r="13" s="57" customFormat="true" ht="12.75" hidden="false" customHeight="true" outlineLevel="0" collapsed="false">
      <c r="A13" s="51" t="s">
        <v>23</v>
      </c>
      <c r="B13" s="52" t="s">
        <v>24</v>
      </c>
      <c r="C13" s="52" t="s">
        <v>25</v>
      </c>
      <c r="D13" s="52" t="s">
        <v>26</v>
      </c>
      <c r="E13" s="52" t="s">
        <v>27</v>
      </c>
      <c r="F13" s="53" t="s">
        <v>28</v>
      </c>
      <c r="G13" s="53"/>
      <c r="H13" s="53" t="s">
        <v>29</v>
      </c>
      <c r="I13" s="53"/>
      <c r="J13" s="53" t="s">
        <v>30</v>
      </c>
      <c r="K13" s="54" t="s">
        <v>31</v>
      </c>
      <c r="L13" s="53" t="s">
        <v>32</v>
      </c>
      <c r="M13" s="55" t="s">
        <v>33</v>
      </c>
      <c r="N13" s="56"/>
      <c r="P13" s="44" t="n">
        <v>88310</v>
      </c>
      <c r="Q13" s="45" t="s">
        <v>34</v>
      </c>
      <c r="R13" s="46" t="n">
        <v>27.02</v>
      </c>
    </row>
    <row r="14" s="57" customFormat="true" ht="12.75" hidden="false" customHeight="true" outlineLevel="0" collapsed="false">
      <c r="A14" s="51"/>
      <c r="B14" s="52"/>
      <c r="C14" s="52"/>
      <c r="D14" s="52"/>
      <c r="E14" s="52"/>
      <c r="F14" s="58" t="s">
        <v>35</v>
      </c>
      <c r="G14" s="53" t="s">
        <v>36</v>
      </c>
      <c r="H14" s="58" t="s">
        <v>35</v>
      </c>
      <c r="I14" s="53" t="s">
        <v>36</v>
      </c>
      <c r="J14" s="53"/>
      <c r="K14" s="54"/>
      <c r="L14" s="53"/>
      <c r="M14" s="55"/>
      <c r="N14" s="56"/>
      <c r="P14" s="44" t="n">
        <v>88243</v>
      </c>
      <c r="Q14" s="45" t="s">
        <v>37</v>
      </c>
      <c r="R14" s="46" t="n">
        <v>22.38</v>
      </c>
    </row>
    <row r="15" s="57" customFormat="true" ht="18" hidden="false" customHeight="true" outlineLevel="0" collapsed="false">
      <c r="A15" s="51"/>
      <c r="B15" s="52"/>
      <c r="C15" s="52"/>
      <c r="D15" s="52"/>
      <c r="E15" s="52"/>
      <c r="F15" s="58"/>
      <c r="G15" s="53"/>
      <c r="H15" s="58"/>
      <c r="I15" s="53"/>
      <c r="J15" s="53"/>
      <c r="K15" s="54"/>
      <c r="L15" s="53"/>
      <c r="M15" s="55"/>
      <c r="N15" s="56"/>
      <c r="P15" s="44" t="n">
        <v>88315</v>
      </c>
      <c r="Q15" s="45" t="s">
        <v>38</v>
      </c>
      <c r="R15" s="59" t="n">
        <v>25.61</v>
      </c>
    </row>
    <row r="16" s="36" customFormat="true" ht="15.75" hidden="true" customHeight="true" outlineLevel="0" collapsed="false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62"/>
      <c r="N16" s="63"/>
      <c r="P16" s="64"/>
      <c r="Q16" s="65"/>
      <c r="R16" s="66"/>
      <c r="S16" s="5"/>
    </row>
    <row r="17" s="76" customFormat="true" ht="19.5" hidden="false" customHeight="true" outlineLevel="0" collapsed="false">
      <c r="A17" s="67"/>
      <c r="B17" s="68" t="n">
        <v>1</v>
      </c>
      <c r="C17" s="69" t="s">
        <v>39</v>
      </c>
      <c r="D17" s="69"/>
      <c r="E17" s="69"/>
      <c r="F17" s="69"/>
      <c r="G17" s="70"/>
      <c r="H17" s="69"/>
      <c r="I17" s="69"/>
      <c r="J17" s="71"/>
      <c r="K17" s="72" t="n">
        <f aca="false">SUM(J19:J21)</f>
        <v>1892.94808</v>
      </c>
      <c r="L17" s="72"/>
      <c r="M17" s="73" t="n">
        <f aca="false">J19+L19+J20+L20+J21+L21</f>
        <v>2308.828773176</v>
      </c>
      <c r="N17" s="74"/>
      <c r="O17" s="75"/>
      <c r="P17" s="75"/>
      <c r="Q17" s="75"/>
      <c r="R17" s="75"/>
      <c r="S17" s="75"/>
      <c r="T17" s="75"/>
      <c r="U17" s="57"/>
      <c r="V17" s="57"/>
    </row>
    <row r="18" s="85" customFormat="true" ht="19.5" hidden="false" customHeight="true" outlineLevel="0" collapsed="false">
      <c r="A18" s="77"/>
      <c r="B18" s="78" t="s">
        <v>40</v>
      </c>
      <c r="C18" s="79" t="s">
        <v>41</v>
      </c>
      <c r="D18" s="79"/>
      <c r="E18" s="79"/>
      <c r="F18" s="79"/>
      <c r="G18" s="79"/>
      <c r="H18" s="79"/>
      <c r="I18" s="79"/>
      <c r="J18" s="79"/>
      <c r="K18" s="79"/>
      <c r="L18" s="79"/>
      <c r="M18" s="80"/>
      <c r="N18" s="81"/>
      <c r="O18" s="82"/>
      <c r="P18" s="82"/>
      <c r="Q18" s="82"/>
      <c r="R18" s="82"/>
      <c r="S18" s="82"/>
      <c r="T18" s="82"/>
      <c r="U18" s="83"/>
      <c r="V18" s="84"/>
    </row>
    <row r="19" customFormat="false" ht="30" hidden="false" customHeight="true" outlineLevel="0" collapsed="false">
      <c r="A19" s="86" t="s">
        <v>42</v>
      </c>
      <c r="B19" s="87" t="s">
        <v>43</v>
      </c>
      <c r="C19" s="88" t="s">
        <v>44</v>
      </c>
      <c r="D19" s="89" t="n">
        <v>1.92</v>
      </c>
      <c r="E19" s="90" t="s">
        <v>45</v>
      </c>
      <c r="F19" s="91" t="n">
        <v>29.88</v>
      </c>
      <c r="G19" s="92" t="n">
        <f aca="false">F19*D19</f>
        <v>57.3696</v>
      </c>
      <c r="H19" s="91" t="n">
        <v>276.68</v>
      </c>
      <c r="I19" s="92" t="n">
        <f aca="false">H19*D19</f>
        <v>531.2256</v>
      </c>
      <c r="J19" s="93" t="n">
        <f aca="false">(I19+G19)</f>
        <v>588.5952</v>
      </c>
      <c r="K19" s="94"/>
      <c r="L19" s="93" t="n">
        <f aca="false">J19*$G$11</f>
        <v>129.31436544</v>
      </c>
      <c r="M19" s="95"/>
      <c r="N19" s="96"/>
      <c r="O19" s="97"/>
      <c r="P19" s="97"/>
      <c r="Q19" s="97"/>
      <c r="R19" s="97"/>
      <c r="S19" s="97"/>
      <c r="T19" s="97"/>
      <c r="U19" s="98"/>
    </row>
    <row r="20" customFormat="false" ht="30" hidden="false" customHeight="true" outlineLevel="0" collapsed="false">
      <c r="A20" s="99" t="s">
        <v>46</v>
      </c>
      <c r="B20" s="87" t="s">
        <v>47</v>
      </c>
      <c r="C20" s="88" t="s">
        <v>48</v>
      </c>
      <c r="D20" s="89" t="n">
        <v>5.2</v>
      </c>
      <c r="E20" s="90" t="s">
        <v>45</v>
      </c>
      <c r="F20" s="91" t="n">
        <v>57.17</v>
      </c>
      <c r="G20" s="92" t="n">
        <f aca="false">F20*D20</f>
        <v>297.284</v>
      </c>
      <c r="H20" s="91" t="n">
        <v>1.3594</v>
      </c>
      <c r="I20" s="92" t="n">
        <f aca="false">H20*D20</f>
        <v>7.06888</v>
      </c>
      <c r="J20" s="93" t="n">
        <f aca="false">(I20+G20)</f>
        <v>304.35288</v>
      </c>
      <c r="K20" s="94"/>
      <c r="L20" s="93" t="n">
        <f aca="false">J20*$G$11</f>
        <v>66.866327736</v>
      </c>
      <c r="M20" s="95"/>
      <c r="N20" s="96"/>
      <c r="O20" s="97"/>
      <c r="P20" s="97"/>
      <c r="Q20" s="97"/>
      <c r="R20" s="97"/>
      <c r="S20" s="97"/>
      <c r="T20" s="97"/>
      <c r="U20" s="100"/>
      <c r="V20" s="98"/>
    </row>
    <row r="21" customFormat="false" ht="30" hidden="false" customHeight="true" outlineLevel="0" collapsed="false">
      <c r="A21" s="99" t="s">
        <v>49</v>
      </c>
      <c r="B21" s="87" t="s">
        <v>50</v>
      </c>
      <c r="C21" s="88" t="s">
        <v>51</v>
      </c>
      <c r="D21" s="89" t="n">
        <v>1</v>
      </c>
      <c r="E21" s="101" t="s">
        <v>52</v>
      </c>
      <c r="F21" s="91" t="n">
        <v>1000</v>
      </c>
      <c r="G21" s="92" t="n">
        <f aca="false">F21*D21</f>
        <v>1000</v>
      </c>
      <c r="H21" s="91" t="n">
        <v>0</v>
      </c>
      <c r="I21" s="92" t="n">
        <f aca="false">H21*D21</f>
        <v>0</v>
      </c>
      <c r="J21" s="93" t="n">
        <f aca="false">(I21+G21)</f>
        <v>1000</v>
      </c>
      <c r="K21" s="94"/>
      <c r="L21" s="93" t="n">
        <f aca="false">J21*$G$11</f>
        <v>219.7</v>
      </c>
      <c r="M21" s="95"/>
      <c r="N21" s="96"/>
      <c r="O21" s="97"/>
      <c r="P21" s="97"/>
      <c r="Q21" s="97"/>
      <c r="R21" s="97"/>
      <c r="S21" s="97"/>
      <c r="T21" s="97"/>
      <c r="U21" s="100"/>
      <c r="V21" s="98"/>
    </row>
    <row r="22" customFormat="false" ht="10.5" hidden="false" customHeight="true" outlineLevel="0" collapsed="false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  <c r="N22" s="63"/>
      <c r="O22" s="97"/>
      <c r="P22" s="97"/>
      <c r="Q22" s="97"/>
      <c r="R22" s="97"/>
      <c r="S22" s="97"/>
      <c r="T22" s="97"/>
    </row>
    <row r="23" s="76" customFormat="true" ht="19.5" hidden="false" customHeight="true" outlineLevel="0" collapsed="false">
      <c r="A23" s="67"/>
      <c r="B23" s="68" t="n">
        <v>2</v>
      </c>
      <c r="C23" s="69" t="s">
        <v>53</v>
      </c>
      <c r="D23" s="69"/>
      <c r="E23" s="69"/>
      <c r="F23" s="69"/>
      <c r="G23" s="70"/>
      <c r="H23" s="69"/>
      <c r="I23" s="69"/>
      <c r="J23" s="71"/>
      <c r="K23" s="72" t="n">
        <f aca="false">SUM(J24:J27)</f>
        <v>3599.5754</v>
      </c>
      <c r="L23" s="72"/>
      <c r="M23" s="73" t="n">
        <f aca="false">J24+L24+J25+L25+J26+L27+L26+J27</f>
        <v>4390.40211538</v>
      </c>
      <c r="N23" s="74"/>
      <c r="O23" s="75"/>
      <c r="P23" s="75"/>
      <c r="Q23" s="75"/>
      <c r="R23" s="75"/>
      <c r="S23" s="75"/>
      <c r="T23" s="75"/>
      <c r="U23" s="57"/>
      <c r="V23" s="57"/>
    </row>
    <row r="24" s="36" customFormat="true" ht="30" hidden="false" customHeight="true" outlineLevel="0" collapsed="false">
      <c r="A24" s="99" t="s">
        <v>54</v>
      </c>
      <c r="B24" s="102" t="s">
        <v>43</v>
      </c>
      <c r="C24" s="103" t="s">
        <v>55</v>
      </c>
      <c r="D24" s="104" t="n">
        <v>43.01</v>
      </c>
      <c r="E24" s="90" t="s">
        <v>45</v>
      </c>
      <c r="F24" s="105" t="n">
        <f aca="false">0.1*R4</f>
        <v>2.13</v>
      </c>
      <c r="G24" s="105" t="n">
        <f aca="false">F24*D24</f>
        <v>91.6113</v>
      </c>
      <c r="H24" s="106" t="n">
        <v>0.93</v>
      </c>
      <c r="I24" s="106" t="n">
        <f aca="false">H24*D24</f>
        <v>39.9993</v>
      </c>
      <c r="J24" s="93" t="n">
        <f aca="false">(I24+G24)</f>
        <v>131.6106</v>
      </c>
      <c r="K24" s="94"/>
      <c r="L24" s="93" t="n">
        <f aca="false">J24*$G$11</f>
        <v>28.91484882</v>
      </c>
      <c r="M24" s="95"/>
      <c r="N24" s="96"/>
      <c r="O24" s="97"/>
      <c r="P24" s="97"/>
      <c r="Q24" s="97"/>
      <c r="R24" s="97"/>
      <c r="S24" s="97"/>
      <c r="T24" s="97"/>
      <c r="U24" s="1"/>
      <c r="V24" s="1"/>
    </row>
    <row r="25" s="36" customFormat="true" ht="30" hidden="false" customHeight="true" outlineLevel="0" collapsed="false">
      <c r="A25" s="86" t="s">
        <v>56</v>
      </c>
      <c r="B25" s="102" t="s">
        <v>47</v>
      </c>
      <c r="C25" s="103" t="s">
        <v>57</v>
      </c>
      <c r="D25" s="107" t="n">
        <v>20</v>
      </c>
      <c r="E25" s="87" t="s">
        <v>58</v>
      </c>
      <c r="F25" s="108" t="n">
        <v>125.37</v>
      </c>
      <c r="G25" s="105" t="n">
        <f aca="false">F25*D25</f>
        <v>2507.4</v>
      </c>
      <c r="H25" s="109" t="n">
        <v>0</v>
      </c>
      <c r="I25" s="106" t="n">
        <f aca="false">H25*D25</f>
        <v>0</v>
      </c>
      <c r="J25" s="93" t="n">
        <f aca="false">(I25+G25)</f>
        <v>2507.4</v>
      </c>
      <c r="K25" s="94"/>
      <c r="L25" s="93" t="n">
        <f aca="false">J25*$G$11</f>
        <v>550.87578</v>
      </c>
      <c r="M25" s="95"/>
      <c r="N25" s="96"/>
      <c r="O25" s="97"/>
      <c r="P25" s="97"/>
      <c r="Q25" s="97"/>
      <c r="R25" s="97"/>
      <c r="S25" s="97"/>
      <c r="T25" s="97"/>
      <c r="U25" s="1"/>
      <c r="V25" s="1"/>
    </row>
    <row r="26" s="110" customFormat="true" ht="30" hidden="false" customHeight="true" outlineLevel="0" collapsed="false">
      <c r="A26" s="99" t="s">
        <v>59</v>
      </c>
      <c r="B26" s="102" t="s">
        <v>50</v>
      </c>
      <c r="C26" s="103" t="s">
        <v>60</v>
      </c>
      <c r="D26" s="107" t="n">
        <f aca="false">17.86+12+3+6</f>
        <v>38.86</v>
      </c>
      <c r="E26" s="90" t="s">
        <v>45</v>
      </c>
      <c r="F26" s="108" t="n">
        <v>1.38</v>
      </c>
      <c r="G26" s="105" t="n">
        <f aca="false">F26*D26</f>
        <v>53.6268</v>
      </c>
      <c r="H26" s="109" t="n">
        <v>0.4</v>
      </c>
      <c r="I26" s="106" t="n">
        <f aca="false">H26*D26</f>
        <v>15.544</v>
      </c>
      <c r="J26" s="93" t="n">
        <f aca="false">(I26+G26)</f>
        <v>69.1708</v>
      </c>
      <c r="K26" s="94"/>
      <c r="L26" s="93" t="n">
        <f aca="false">J26*$G$11</f>
        <v>15.19682476</v>
      </c>
      <c r="M26" s="95"/>
      <c r="N26" s="96"/>
      <c r="O26" s="97"/>
      <c r="P26" s="97"/>
      <c r="Q26" s="97"/>
      <c r="R26" s="97"/>
      <c r="S26" s="97"/>
      <c r="T26" s="97"/>
    </row>
    <row r="27" s="113" customFormat="true" ht="30" hidden="false" customHeight="true" outlineLevel="0" collapsed="false">
      <c r="A27" s="99" t="s">
        <v>61</v>
      </c>
      <c r="B27" s="87" t="s">
        <v>62</v>
      </c>
      <c r="C27" s="88" t="s">
        <v>63</v>
      </c>
      <c r="D27" s="111" t="n">
        <v>20</v>
      </c>
      <c r="E27" s="112" t="s">
        <v>58</v>
      </c>
      <c r="F27" s="108" t="n">
        <v>44.1697</v>
      </c>
      <c r="G27" s="105" t="n">
        <f aca="false">F27*D27</f>
        <v>883.394</v>
      </c>
      <c r="H27" s="109" t="n">
        <v>0.4</v>
      </c>
      <c r="I27" s="106" t="n">
        <f aca="false">H27*D27</f>
        <v>8</v>
      </c>
      <c r="J27" s="93" t="n">
        <f aca="false">(I27+G27)</f>
        <v>891.394</v>
      </c>
      <c r="K27" s="94"/>
      <c r="L27" s="93" t="n">
        <f aca="false">J27*$G$11</f>
        <v>195.8392618</v>
      </c>
      <c r="M27" s="95"/>
      <c r="N27" s="96"/>
      <c r="O27" s="97"/>
      <c r="P27" s="97"/>
      <c r="Q27" s="97"/>
      <c r="R27" s="97"/>
      <c r="S27" s="97"/>
      <c r="T27" s="97"/>
    </row>
    <row r="28" s="36" customFormat="true" ht="10.5" hidden="false" customHeight="true" outlineLevel="0" collapsed="false">
      <c r="A28" s="99"/>
      <c r="B28" s="102"/>
      <c r="C28" s="103"/>
      <c r="D28" s="107"/>
      <c r="E28" s="90"/>
      <c r="F28" s="108"/>
      <c r="G28" s="105"/>
      <c r="H28" s="109"/>
      <c r="I28" s="106"/>
      <c r="J28" s="106"/>
      <c r="K28" s="114"/>
      <c r="L28" s="114"/>
      <c r="M28" s="115"/>
      <c r="N28" s="116"/>
      <c r="O28" s="97"/>
      <c r="P28" s="97"/>
      <c r="Q28" s="97"/>
      <c r="R28" s="97"/>
      <c r="S28" s="97"/>
      <c r="T28" s="97"/>
      <c r="V28" s="1"/>
    </row>
    <row r="29" s="76" customFormat="true" ht="19.5" hidden="false" customHeight="true" outlineLevel="0" collapsed="false">
      <c r="A29" s="67"/>
      <c r="B29" s="68" t="n">
        <v>3</v>
      </c>
      <c r="C29" s="69" t="s">
        <v>64</v>
      </c>
      <c r="D29" s="69"/>
      <c r="E29" s="69"/>
      <c r="F29" s="69"/>
      <c r="G29" s="70"/>
      <c r="H29" s="69"/>
      <c r="I29" s="69"/>
      <c r="J29" s="69" t="n">
        <f aca="false">(I29+G29)</f>
        <v>0</v>
      </c>
      <c r="K29" s="72" t="n">
        <f aca="false">J31+K32+K34+K36+K39+K41+K43</f>
        <v>3071.846584</v>
      </c>
      <c r="L29" s="72"/>
      <c r="M29" s="73" t="n">
        <f aca="false">J31+K32+K34+K36+K39+K41+K43+L31+L33+L35+L37+L38+L40+L42+L44</f>
        <v>3746.7312785048</v>
      </c>
      <c r="N29" s="74"/>
      <c r="O29" s="75"/>
      <c r="P29" s="75"/>
      <c r="Q29" s="75"/>
      <c r="R29" s="75"/>
      <c r="S29" s="75"/>
      <c r="T29" s="75"/>
    </row>
    <row r="30" s="36" customFormat="true" ht="19.5" hidden="true" customHeight="true" outlineLevel="0" collapsed="false">
      <c r="A30" s="117"/>
      <c r="B30" s="118" t="s">
        <v>65</v>
      </c>
      <c r="C30" s="119" t="s">
        <v>66</v>
      </c>
      <c r="D30" s="120"/>
      <c r="E30" s="120"/>
      <c r="F30" s="120"/>
      <c r="G30" s="121"/>
      <c r="H30" s="120"/>
      <c r="I30" s="120"/>
      <c r="J30" s="93" t="n">
        <f aca="false">(I30+G30)</f>
        <v>0</v>
      </c>
      <c r="K30" s="122" t="n">
        <f aca="false">J31</f>
        <v>688.13622</v>
      </c>
      <c r="L30" s="122"/>
      <c r="M30" s="123"/>
      <c r="N30" s="124"/>
      <c r="O30" s="1"/>
      <c r="P30" s="125"/>
      <c r="Q30" s="125"/>
      <c r="R30" s="125"/>
      <c r="S30" s="5"/>
    </row>
    <row r="31" s="36" customFormat="true" ht="30" hidden="false" customHeight="true" outlineLevel="0" collapsed="false">
      <c r="A31" s="99" t="s">
        <v>67</v>
      </c>
      <c r="B31" s="102" t="s">
        <v>43</v>
      </c>
      <c r="C31" s="103" t="s">
        <v>66</v>
      </c>
      <c r="D31" s="104" t="n">
        <v>32.61</v>
      </c>
      <c r="E31" s="90" t="s">
        <v>45</v>
      </c>
      <c r="F31" s="105" t="n">
        <f aca="false">(0.4*R4)+(0.4*R9)</f>
        <v>18.692</v>
      </c>
      <c r="G31" s="105" t="n">
        <f aca="false">F31*D31</f>
        <v>609.54612</v>
      </c>
      <c r="H31" s="126" t="n">
        <v>2.41</v>
      </c>
      <c r="I31" s="126" t="n">
        <f aca="false">H31*D31</f>
        <v>78.5901</v>
      </c>
      <c r="J31" s="93" t="n">
        <f aca="false">(I31+G31)</f>
        <v>688.13622</v>
      </c>
      <c r="K31" s="127"/>
      <c r="L31" s="93" t="n">
        <f aca="false">J31*$G$11</f>
        <v>151.183527534</v>
      </c>
      <c r="M31" s="128"/>
      <c r="N31" s="129"/>
      <c r="O31" s="1"/>
      <c r="P31" s="130"/>
      <c r="Q31" s="131"/>
      <c r="R31" s="132"/>
      <c r="S31" s="5"/>
    </row>
    <row r="32" s="143" customFormat="true" ht="19.5" hidden="false" customHeight="true" outlineLevel="0" collapsed="false">
      <c r="A32" s="133"/>
      <c r="B32" s="78" t="s">
        <v>68</v>
      </c>
      <c r="C32" s="79" t="s">
        <v>69</v>
      </c>
      <c r="D32" s="134"/>
      <c r="E32" s="134"/>
      <c r="F32" s="135"/>
      <c r="G32" s="135"/>
      <c r="H32" s="134"/>
      <c r="I32" s="134"/>
      <c r="J32" s="79" t="n">
        <f aca="false">(I32+G32)</f>
        <v>0</v>
      </c>
      <c r="K32" s="136" t="n">
        <f aca="false">SUM(J33:J33)</f>
        <v>110.127864</v>
      </c>
      <c r="L32" s="136"/>
      <c r="M32" s="137"/>
      <c r="N32" s="138"/>
      <c r="O32" s="139"/>
      <c r="P32" s="140"/>
      <c r="Q32" s="141"/>
      <c r="R32" s="142"/>
      <c r="S32" s="85"/>
    </row>
    <row r="33" s="110" customFormat="true" ht="30" hidden="false" customHeight="true" outlineLevel="0" collapsed="false">
      <c r="A33" s="99" t="s">
        <v>70</v>
      </c>
      <c r="B33" s="102" t="s">
        <v>43</v>
      </c>
      <c r="C33" s="103" t="s">
        <v>71</v>
      </c>
      <c r="D33" s="104" t="n">
        <v>5.06</v>
      </c>
      <c r="E33" s="90" t="s">
        <v>45</v>
      </c>
      <c r="F33" s="105" t="n">
        <f aca="false">(0.08*R9)+(0.8*R4)</f>
        <v>19.0744</v>
      </c>
      <c r="G33" s="105" t="n">
        <f aca="false">F33*D33</f>
        <v>96.516464</v>
      </c>
      <c r="H33" s="109" t="n">
        <v>2.69</v>
      </c>
      <c r="I33" s="109" t="n">
        <f aca="false">D33*H33</f>
        <v>13.6114</v>
      </c>
      <c r="J33" s="93" t="n">
        <f aca="false">(I33+G33)</f>
        <v>110.127864</v>
      </c>
      <c r="K33" s="127"/>
      <c r="L33" s="93" t="n">
        <f aca="false">J33*$G$11</f>
        <v>24.1950917208</v>
      </c>
      <c r="M33" s="128"/>
      <c r="N33" s="129"/>
      <c r="O33" s="144"/>
      <c r="P33" s="132"/>
      <c r="Q33" s="5"/>
    </row>
    <row r="34" s="139" customFormat="true" ht="19.5" hidden="false" customHeight="true" outlineLevel="0" collapsed="false">
      <c r="A34" s="133"/>
      <c r="B34" s="78" t="s">
        <v>72</v>
      </c>
      <c r="C34" s="79" t="s">
        <v>73</v>
      </c>
      <c r="D34" s="134"/>
      <c r="E34" s="134"/>
      <c r="F34" s="135"/>
      <c r="G34" s="135"/>
      <c r="H34" s="134"/>
      <c r="I34" s="134"/>
      <c r="J34" s="79" t="n">
        <f aca="false">(I34+G34)</f>
        <v>0</v>
      </c>
      <c r="K34" s="136" t="n">
        <f aca="false">SUM(J35:J35)</f>
        <v>65.94</v>
      </c>
      <c r="L34" s="136"/>
      <c r="M34" s="137"/>
      <c r="N34" s="138"/>
      <c r="O34" s="145"/>
      <c r="P34" s="84"/>
      <c r="Q34" s="85"/>
    </row>
    <row r="35" s="110" customFormat="true" ht="30" hidden="false" customHeight="true" outlineLevel="0" collapsed="false">
      <c r="A35" s="99" t="s">
        <v>74</v>
      </c>
      <c r="B35" s="87" t="s">
        <v>43</v>
      </c>
      <c r="C35" s="103" t="s">
        <v>75</v>
      </c>
      <c r="D35" s="104" t="n">
        <v>4</v>
      </c>
      <c r="E35" s="101" t="s">
        <v>52</v>
      </c>
      <c r="F35" s="105" t="n">
        <f aca="false">(0.3*R4)+(0.3*R8)</f>
        <v>14.685</v>
      </c>
      <c r="G35" s="105" t="n">
        <f aca="false">F35*D35</f>
        <v>58.74</v>
      </c>
      <c r="H35" s="106" t="n">
        <v>1.8</v>
      </c>
      <c r="I35" s="106" t="n">
        <f aca="false">H35*D35</f>
        <v>7.2</v>
      </c>
      <c r="J35" s="93" t="n">
        <f aca="false">(I35+G35)</f>
        <v>65.94</v>
      </c>
      <c r="K35" s="127"/>
      <c r="L35" s="93" t="n">
        <f aca="false">J35*$G$11</f>
        <v>14.487018</v>
      </c>
      <c r="M35" s="128"/>
      <c r="N35" s="129"/>
      <c r="O35" s="146"/>
      <c r="P35" s="98"/>
      <c r="Q35" s="5"/>
    </row>
    <row r="36" s="143" customFormat="true" ht="19.5" hidden="false" customHeight="true" outlineLevel="0" collapsed="false">
      <c r="A36" s="133"/>
      <c r="B36" s="78" t="s">
        <v>76</v>
      </c>
      <c r="C36" s="79" t="s">
        <v>77</v>
      </c>
      <c r="D36" s="79"/>
      <c r="E36" s="79"/>
      <c r="F36" s="147"/>
      <c r="G36" s="147"/>
      <c r="H36" s="79"/>
      <c r="I36" s="79"/>
      <c r="J36" s="79" t="n">
        <f aca="false">(I36+G36)</f>
        <v>0</v>
      </c>
      <c r="K36" s="136" t="n">
        <f aca="false">J37+J38</f>
        <v>940.94</v>
      </c>
      <c r="L36" s="136"/>
      <c r="M36" s="137"/>
      <c r="N36" s="138"/>
      <c r="O36" s="139"/>
      <c r="P36" s="148"/>
      <c r="Q36" s="149"/>
      <c r="R36" s="150"/>
      <c r="S36" s="85"/>
    </row>
    <row r="37" s="154" customFormat="true" ht="30" hidden="false" customHeight="true" outlineLevel="0" collapsed="false">
      <c r="A37" s="86" t="s">
        <v>78</v>
      </c>
      <c r="B37" s="102" t="s">
        <v>43</v>
      </c>
      <c r="C37" s="103" t="s">
        <v>79</v>
      </c>
      <c r="D37" s="104" t="n">
        <v>50</v>
      </c>
      <c r="E37" s="101" t="s">
        <v>52</v>
      </c>
      <c r="F37" s="105" t="n">
        <f aca="false">(0.5*R4)</f>
        <v>10.65</v>
      </c>
      <c r="G37" s="105" t="n">
        <f aca="false">F37*D37</f>
        <v>532.5</v>
      </c>
      <c r="H37" s="106" t="n">
        <v>3.06</v>
      </c>
      <c r="I37" s="106" t="n">
        <f aca="false">D37*H37</f>
        <v>153</v>
      </c>
      <c r="J37" s="93" t="n">
        <f aca="false">(I37+G37)</f>
        <v>685.5</v>
      </c>
      <c r="K37" s="151"/>
      <c r="L37" s="93" t="n">
        <f aca="false">J37*$G$11</f>
        <v>150.60435</v>
      </c>
      <c r="M37" s="152"/>
      <c r="N37" s="129"/>
      <c r="O37" s="110"/>
      <c r="P37" s="64"/>
      <c r="Q37" s="65"/>
      <c r="R37" s="66"/>
      <c r="S37" s="153"/>
    </row>
    <row r="38" s="156" customFormat="true" ht="30" hidden="false" customHeight="true" outlineLevel="0" collapsed="false">
      <c r="A38" s="155" t="s">
        <v>78</v>
      </c>
      <c r="B38" s="102" t="s">
        <v>47</v>
      </c>
      <c r="C38" s="103" t="s">
        <v>80</v>
      </c>
      <c r="D38" s="104" t="n">
        <v>16</v>
      </c>
      <c r="E38" s="101" t="s">
        <v>52</v>
      </c>
      <c r="F38" s="105" t="n">
        <f aca="false">(0.5*R5)</f>
        <v>12.905</v>
      </c>
      <c r="G38" s="105" t="n">
        <f aca="false">F38*D38</f>
        <v>206.48</v>
      </c>
      <c r="H38" s="106" t="n">
        <v>3.06</v>
      </c>
      <c r="I38" s="106" t="n">
        <f aca="false">D38*H38</f>
        <v>48.96</v>
      </c>
      <c r="J38" s="93" t="n">
        <f aca="false">(I38+G38)</f>
        <v>255.44</v>
      </c>
      <c r="K38" s="151"/>
      <c r="L38" s="93" t="n">
        <f aca="false">J38*$G$11</f>
        <v>56.120168</v>
      </c>
      <c r="M38" s="152"/>
      <c r="N38" s="129"/>
      <c r="O38" s="110"/>
      <c r="P38" s="64"/>
      <c r="Q38" s="65"/>
      <c r="R38" s="66"/>
      <c r="S38" s="153"/>
    </row>
    <row r="39" s="164" customFormat="true" ht="20.25" hidden="false" customHeight="true" outlineLevel="0" collapsed="false">
      <c r="A39" s="133"/>
      <c r="B39" s="157" t="s">
        <v>81</v>
      </c>
      <c r="C39" s="158" t="s">
        <v>82</v>
      </c>
      <c r="D39" s="158"/>
      <c r="E39" s="158"/>
      <c r="F39" s="159"/>
      <c r="G39" s="159"/>
      <c r="H39" s="158"/>
      <c r="I39" s="158"/>
      <c r="J39" s="79" t="n">
        <f aca="false">(I39+G39)</f>
        <v>0</v>
      </c>
      <c r="K39" s="160" t="n">
        <f aca="false">J40</f>
        <v>128.1154</v>
      </c>
      <c r="L39" s="160"/>
      <c r="M39" s="161"/>
      <c r="N39" s="162"/>
      <c r="O39" s="163"/>
      <c r="P39" s="148"/>
      <c r="Q39" s="149"/>
      <c r="R39" s="150"/>
    </row>
    <row r="40" s="110" customFormat="true" ht="30" hidden="false" customHeight="true" outlineLevel="0" collapsed="false">
      <c r="A40" s="99" t="s">
        <v>83</v>
      </c>
      <c r="B40" s="87" t="s">
        <v>43</v>
      </c>
      <c r="C40" s="165" t="s">
        <v>84</v>
      </c>
      <c r="D40" s="166" t="n">
        <v>16.66</v>
      </c>
      <c r="E40" s="105" t="s">
        <v>85</v>
      </c>
      <c r="F40" s="105" t="n">
        <f aca="false">(0.25*R9)+(0.025*R4)</f>
        <v>6.89</v>
      </c>
      <c r="G40" s="105" t="n">
        <f aca="false">F40*D40</f>
        <v>114.7874</v>
      </c>
      <c r="H40" s="106" t="n">
        <v>0.8</v>
      </c>
      <c r="I40" s="106" t="n">
        <f aca="false">D40*H40</f>
        <v>13.328</v>
      </c>
      <c r="J40" s="93" t="n">
        <f aca="false">(I40+G40)</f>
        <v>128.1154</v>
      </c>
      <c r="K40" s="167"/>
      <c r="L40" s="93" t="n">
        <f aca="false">J40*$G$11</f>
        <v>28.14695338</v>
      </c>
      <c r="M40" s="168"/>
      <c r="N40" s="169"/>
      <c r="O40" s="156"/>
      <c r="P40" s="170"/>
      <c r="Q40" s="171"/>
      <c r="R40" s="172"/>
      <c r="S40" s="5"/>
    </row>
    <row r="41" s="85" customFormat="true" ht="20.25" hidden="false" customHeight="true" outlineLevel="0" collapsed="false">
      <c r="A41" s="77"/>
      <c r="B41" s="78" t="s">
        <v>86</v>
      </c>
      <c r="C41" s="79" t="s">
        <v>87</v>
      </c>
      <c r="D41" s="79"/>
      <c r="E41" s="79"/>
      <c r="F41" s="147"/>
      <c r="G41" s="147"/>
      <c r="H41" s="79"/>
      <c r="I41" s="79"/>
      <c r="J41" s="79" t="n">
        <f aca="false">(I41+G41)</f>
        <v>0</v>
      </c>
      <c r="K41" s="136" t="n">
        <f aca="false">J42</f>
        <v>260.62</v>
      </c>
      <c r="L41" s="136"/>
      <c r="M41" s="137"/>
      <c r="N41" s="138"/>
      <c r="O41" s="139"/>
      <c r="P41" s="173"/>
      <c r="Q41" s="83"/>
      <c r="R41" s="84"/>
    </row>
    <row r="42" s="110" customFormat="true" ht="30" hidden="false" customHeight="true" outlineLevel="0" collapsed="false">
      <c r="A42" s="99" t="s">
        <v>88</v>
      </c>
      <c r="B42" s="87" t="s">
        <v>43</v>
      </c>
      <c r="C42" s="165" t="s">
        <v>89</v>
      </c>
      <c r="D42" s="104" t="n">
        <v>1</v>
      </c>
      <c r="E42" s="101" t="s">
        <v>52</v>
      </c>
      <c r="F42" s="105" t="n">
        <v>47.31</v>
      </c>
      <c r="G42" s="105" t="n">
        <f aca="false">F42*D42</f>
        <v>47.31</v>
      </c>
      <c r="H42" s="106" t="n">
        <v>213.31</v>
      </c>
      <c r="I42" s="106" t="n">
        <f aca="false">D42*H42</f>
        <v>213.31</v>
      </c>
      <c r="J42" s="93" t="n">
        <f aca="false">(I42+G42)</f>
        <v>260.62</v>
      </c>
      <c r="K42" s="167"/>
      <c r="L42" s="93" t="n">
        <f aca="false">J42*$G$11</f>
        <v>57.258214</v>
      </c>
      <c r="M42" s="168"/>
      <c r="N42" s="169"/>
      <c r="O42" s="156"/>
      <c r="P42" s="170"/>
      <c r="Q42" s="171"/>
      <c r="R42" s="172"/>
      <c r="S42" s="5"/>
    </row>
    <row r="43" s="85" customFormat="true" ht="20.25" hidden="false" customHeight="true" outlineLevel="0" collapsed="false">
      <c r="A43" s="77"/>
      <c r="B43" s="78" t="s">
        <v>90</v>
      </c>
      <c r="C43" s="79" t="s">
        <v>91</v>
      </c>
      <c r="D43" s="79"/>
      <c r="E43" s="79"/>
      <c r="F43" s="147"/>
      <c r="G43" s="147"/>
      <c r="H43" s="79"/>
      <c r="I43" s="79"/>
      <c r="J43" s="79" t="n">
        <f aca="false">(I43+G43)</f>
        <v>0</v>
      </c>
      <c r="K43" s="136" t="n">
        <f aca="false">J44</f>
        <v>877.9671</v>
      </c>
      <c r="L43" s="136"/>
      <c r="M43" s="137"/>
      <c r="N43" s="138"/>
      <c r="O43" s="139"/>
      <c r="P43" s="173"/>
      <c r="Q43" s="83"/>
      <c r="R43" s="84"/>
    </row>
    <row r="44" s="156" customFormat="true" ht="30" hidden="false" customHeight="true" outlineLevel="0" collapsed="false">
      <c r="A44" s="155" t="s">
        <v>78</v>
      </c>
      <c r="B44" s="174" t="s">
        <v>43</v>
      </c>
      <c r="C44" s="175" t="s">
        <v>92</v>
      </c>
      <c r="D44" s="104" t="n">
        <v>57.78</v>
      </c>
      <c r="E44" s="101" t="s">
        <v>52</v>
      </c>
      <c r="F44" s="105" t="n">
        <f aca="false">(0.5*R11)</f>
        <v>12.135</v>
      </c>
      <c r="G44" s="105" t="n">
        <f aca="false">F44*D44</f>
        <v>701.1603</v>
      </c>
      <c r="H44" s="106" t="n">
        <v>3.06</v>
      </c>
      <c r="I44" s="106" t="n">
        <f aca="false">D44*H44</f>
        <v>176.8068</v>
      </c>
      <c r="J44" s="93" t="n">
        <f aca="false">(I44+G44)</f>
        <v>877.9671</v>
      </c>
      <c r="K44" s="127"/>
      <c r="L44" s="93" t="n">
        <f aca="false">J44*$G$11</f>
        <v>192.88937187</v>
      </c>
      <c r="M44" s="128"/>
      <c r="N44" s="129"/>
      <c r="O44" s="110"/>
      <c r="P44" s="64"/>
      <c r="Q44" s="65"/>
      <c r="R44" s="66"/>
      <c r="S44" s="153"/>
    </row>
    <row r="45" s="110" customFormat="true" ht="10.5" hidden="false" customHeight="true" outlineLevel="0" collapsed="false">
      <c r="A45" s="176"/>
      <c r="B45" s="177"/>
      <c r="C45" s="177"/>
      <c r="D45" s="177"/>
      <c r="E45" s="177"/>
      <c r="F45" s="177"/>
      <c r="G45" s="178"/>
      <c r="H45" s="177"/>
      <c r="I45" s="177"/>
      <c r="J45" s="179"/>
      <c r="K45" s="127"/>
      <c r="L45" s="127"/>
      <c r="M45" s="128"/>
      <c r="N45" s="129"/>
      <c r="O45" s="36"/>
      <c r="P45" s="64"/>
      <c r="Q45" s="65"/>
      <c r="R45" s="66"/>
      <c r="S45" s="5"/>
    </row>
    <row r="46" s="76" customFormat="true" ht="20.25" hidden="false" customHeight="true" outlineLevel="0" collapsed="false">
      <c r="A46" s="180"/>
      <c r="B46" s="68" t="n">
        <v>4</v>
      </c>
      <c r="C46" s="69" t="s">
        <v>93</v>
      </c>
      <c r="D46" s="69"/>
      <c r="E46" s="69"/>
      <c r="F46" s="70"/>
      <c r="G46" s="70"/>
      <c r="H46" s="69"/>
      <c r="I46" s="69"/>
      <c r="J46" s="69" t="n">
        <f aca="false">(I46+G46)</f>
        <v>0</v>
      </c>
      <c r="K46" s="72" t="n">
        <f aca="false">J47</f>
        <v>606.441</v>
      </c>
      <c r="L46" s="72"/>
      <c r="M46" s="73" t="n">
        <f aca="false">J47+L47</f>
        <v>739.6760877</v>
      </c>
      <c r="N46" s="74"/>
      <c r="O46" s="181"/>
      <c r="P46" s="182"/>
      <c r="Q46" s="183"/>
      <c r="R46" s="184"/>
      <c r="S46" s="57"/>
    </row>
    <row r="47" s="110" customFormat="true" ht="30" hidden="false" customHeight="true" outlineLevel="0" collapsed="false">
      <c r="A47" s="99" t="s">
        <v>94</v>
      </c>
      <c r="B47" s="102" t="s">
        <v>43</v>
      </c>
      <c r="C47" s="175" t="s">
        <v>95</v>
      </c>
      <c r="D47" s="185" t="n">
        <f aca="false">43.01*2</f>
        <v>86.02</v>
      </c>
      <c r="E47" s="90" t="s">
        <v>45</v>
      </c>
      <c r="F47" s="101" t="n">
        <f aca="false">0.2*R4</f>
        <v>4.26</v>
      </c>
      <c r="G47" s="101" t="n">
        <f aca="false">F47*D47</f>
        <v>366.4452</v>
      </c>
      <c r="H47" s="106" t="n">
        <v>2.79</v>
      </c>
      <c r="I47" s="106" t="n">
        <f aca="false">D47*H47</f>
        <v>239.9958</v>
      </c>
      <c r="J47" s="93" t="n">
        <f aca="false">(I47+G47)</f>
        <v>606.441</v>
      </c>
      <c r="K47" s="127"/>
      <c r="L47" s="93" t="n">
        <f aca="false">J47*$G$11</f>
        <v>133.2350877</v>
      </c>
      <c r="M47" s="128"/>
      <c r="N47" s="129"/>
      <c r="P47" s="64"/>
      <c r="Q47" s="65"/>
      <c r="R47" s="66"/>
      <c r="S47" s="5"/>
    </row>
    <row r="48" s="110" customFormat="true" ht="9.75" hidden="false" customHeight="true" outlineLevel="0" collapsed="false">
      <c r="A48" s="176"/>
      <c r="B48" s="177"/>
      <c r="C48" s="177"/>
      <c r="D48" s="177"/>
      <c r="E48" s="177"/>
      <c r="F48" s="177"/>
      <c r="G48" s="178"/>
      <c r="H48" s="177"/>
      <c r="I48" s="177"/>
      <c r="J48" s="179"/>
      <c r="K48" s="127"/>
      <c r="L48" s="127"/>
      <c r="M48" s="128"/>
      <c r="N48" s="129"/>
      <c r="O48" s="36"/>
      <c r="P48" s="64"/>
      <c r="Q48" s="65"/>
      <c r="R48" s="66"/>
      <c r="S48" s="5"/>
    </row>
    <row r="49" s="181" customFormat="true" ht="19.5" hidden="false" customHeight="true" outlineLevel="0" collapsed="false">
      <c r="A49" s="67"/>
      <c r="B49" s="68" t="n">
        <v>5</v>
      </c>
      <c r="C49" s="69" t="s">
        <v>96</v>
      </c>
      <c r="D49" s="69"/>
      <c r="E49" s="69"/>
      <c r="F49" s="70"/>
      <c r="G49" s="70"/>
      <c r="H49" s="69"/>
      <c r="I49" s="69"/>
      <c r="J49" s="69" t="n">
        <f aca="false">(I49+G49)</f>
        <v>0</v>
      </c>
      <c r="K49" s="72" t="n">
        <f aca="false">SUM(J51:J51)</f>
        <v>2587.3</v>
      </c>
      <c r="L49" s="72"/>
      <c r="M49" s="73" t="n">
        <f aca="false">J51+L51</f>
        <v>3155.72981</v>
      </c>
      <c r="N49" s="74"/>
      <c r="P49" s="182"/>
      <c r="Q49" s="183"/>
      <c r="R49" s="184"/>
      <c r="S49" s="57"/>
    </row>
    <row r="50" s="143" customFormat="true" ht="19.5" hidden="false" customHeight="true" outlineLevel="0" collapsed="false">
      <c r="A50" s="133"/>
      <c r="B50" s="78" t="s">
        <v>97</v>
      </c>
      <c r="C50" s="79" t="s">
        <v>98</v>
      </c>
      <c r="D50" s="79"/>
      <c r="E50" s="79"/>
      <c r="F50" s="147"/>
      <c r="G50" s="147"/>
      <c r="H50" s="79"/>
      <c r="I50" s="79"/>
      <c r="J50" s="79" t="n">
        <f aca="false">(I50+G50)</f>
        <v>0</v>
      </c>
      <c r="K50" s="136" t="n">
        <v>0</v>
      </c>
      <c r="L50" s="136"/>
      <c r="M50" s="137"/>
      <c r="N50" s="138"/>
      <c r="P50" s="148"/>
      <c r="Q50" s="149"/>
      <c r="R50" s="150"/>
      <c r="S50" s="85"/>
    </row>
    <row r="51" s="110" customFormat="true" ht="30" hidden="false" customHeight="true" outlineLevel="0" collapsed="false">
      <c r="A51" s="86" t="s">
        <v>99</v>
      </c>
      <c r="B51" s="102" t="s">
        <v>43</v>
      </c>
      <c r="C51" s="165" t="s">
        <v>100</v>
      </c>
      <c r="D51" s="104" t="n">
        <v>2</v>
      </c>
      <c r="E51" s="101" t="s">
        <v>52</v>
      </c>
      <c r="F51" s="105" t="n">
        <v>193.82</v>
      </c>
      <c r="G51" s="105" t="n">
        <f aca="false">F51*D51</f>
        <v>387.64</v>
      </c>
      <c r="H51" s="106" t="n">
        <v>1099.83</v>
      </c>
      <c r="I51" s="106" t="n">
        <f aca="false">H51*D51</f>
        <v>2199.66</v>
      </c>
      <c r="J51" s="93" t="n">
        <f aca="false">(I51+G51)</f>
        <v>2587.3</v>
      </c>
      <c r="K51" s="127"/>
      <c r="L51" s="93" t="n">
        <f aca="false">J51*$G$11</f>
        <v>568.42981</v>
      </c>
      <c r="M51" s="128"/>
      <c r="N51" s="129"/>
      <c r="P51" s="64"/>
      <c r="Q51" s="65"/>
      <c r="R51" s="66"/>
      <c r="S51" s="5"/>
    </row>
    <row r="52" s="76" customFormat="true" ht="20.25" hidden="false" customHeight="true" outlineLevel="0" collapsed="false">
      <c r="A52" s="180"/>
      <c r="B52" s="68" t="n">
        <v>6</v>
      </c>
      <c r="C52" s="69" t="s">
        <v>101</v>
      </c>
      <c r="D52" s="69"/>
      <c r="E52" s="69"/>
      <c r="F52" s="70"/>
      <c r="G52" s="70"/>
      <c r="H52" s="69"/>
      <c r="I52" s="69"/>
      <c r="J52" s="69" t="n">
        <f aca="false">(I52+G52)</f>
        <v>0</v>
      </c>
      <c r="K52" s="72" t="n">
        <f aca="false">SUM(J53:J54)</f>
        <v>1212.5902</v>
      </c>
      <c r="L52" s="72"/>
      <c r="M52" s="73" t="n">
        <f aca="false">J53+J54+L53+L54</f>
        <v>1478.99626694</v>
      </c>
      <c r="N52" s="74"/>
      <c r="O52" s="181"/>
      <c r="P52" s="182"/>
      <c r="Q52" s="183"/>
      <c r="R52" s="184"/>
      <c r="S52" s="57"/>
    </row>
    <row r="53" s="110" customFormat="true" ht="30" hidden="false" customHeight="true" outlineLevel="0" collapsed="false">
      <c r="A53" s="86" t="s">
        <v>102</v>
      </c>
      <c r="B53" s="102" t="s">
        <v>43</v>
      </c>
      <c r="C53" s="103" t="s">
        <v>103</v>
      </c>
      <c r="D53" s="104" t="n">
        <v>55.78</v>
      </c>
      <c r="E53" s="101" t="s">
        <v>45</v>
      </c>
      <c r="F53" s="101" t="n">
        <v>9.51</v>
      </c>
      <c r="G53" s="101" t="n">
        <f aca="false">F53*D53</f>
        <v>530.4678</v>
      </c>
      <c r="H53" s="106" t="n">
        <v>11.08</v>
      </c>
      <c r="I53" s="106" t="n">
        <f aca="false">D53*H53</f>
        <v>618.0424</v>
      </c>
      <c r="J53" s="93" t="n">
        <f aca="false">(I53+G53)</f>
        <v>1148.5102</v>
      </c>
      <c r="K53" s="151"/>
      <c r="L53" s="93" t="n">
        <f aca="false">J53*$G$11</f>
        <v>252.32769094</v>
      </c>
      <c r="M53" s="152"/>
      <c r="N53" s="129"/>
      <c r="P53" s="64"/>
      <c r="Q53" s="65"/>
      <c r="R53" s="66"/>
      <c r="S53" s="5"/>
    </row>
    <row r="54" s="110" customFormat="true" ht="30" hidden="false" customHeight="true" outlineLevel="0" collapsed="false">
      <c r="A54" s="86" t="s">
        <v>104</v>
      </c>
      <c r="B54" s="102" t="s">
        <v>47</v>
      </c>
      <c r="C54" s="103" t="s">
        <v>105</v>
      </c>
      <c r="D54" s="104" t="n">
        <v>3</v>
      </c>
      <c r="E54" s="101" t="s">
        <v>52</v>
      </c>
      <c r="F54" s="101" t="n">
        <v>9.51</v>
      </c>
      <c r="G54" s="101" t="n">
        <f aca="false">F54*D54</f>
        <v>28.53</v>
      </c>
      <c r="H54" s="106" t="n">
        <v>11.85</v>
      </c>
      <c r="I54" s="106" t="n">
        <f aca="false">D54*H54</f>
        <v>35.55</v>
      </c>
      <c r="J54" s="93" t="n">
        <f aca="false">(I54+G54)</f>
        <v>64.08</v>
      </c>
      <c r="K54" s="151"/>
      <c r="L54" s="93" t="n">
        <f aca="false">J54*$G$11</f>
        <v>14.078376</v>
      </c>
      <c r="M54" s="152"/>
      <c r="N54" s="129"/>
      <c r="P54" s="64"/>
      <c r="Q54" s="65"/>
      <c r="R54" s="66"/>
      <c r="S54" s="5"/>
    </row>
    <row r="55" s="110" customFormat="true" ht="9.75" hidden="false" customHeight="true" outlineLevel="0" collapsed="false">
      <c r="A55" s="186"/>
      <c r="B55" s="187"/>
      <c r="C55" s="187"/>
      <c r="D55" s="187"/>
      <c r="E55" s="187"/>
      <c r="F55" s="188"/>
      <c r="G55" s="188"/>
      <c r="H55" s="187"/>
      <c r="I55" s="187"/>
      <c r="J55" s="179"/>
      <c r="K55" s="187"/>
      <c r="L55" s="187"/>
      <c r="M55" s="189"/>
      <c r="N55" s="190"/>
      <c r="O55" s="36"/>
      <c r="P55" s="64"/>
      <c r="Q55" s="65"/>
      <c r="R55" s="66"/>
      <c r="S55" s="5"/>
    </row>
    <row r="56" s="192" customFormat="true" ht="19.5" hidden="false" customHeight="true" outlineLevel="0" collapsed="false">
      <c r="A56" s="67"/>
      <c r="B56" s="68" t="n">
        <v>7</v>
      </c>
      <c r="C56" s="69" t="s">
        <v>106</v>
      </c>
      <c r="D56" s="69"/>
      <c r="E56" s="69"/>
      <c r="F56" s="70"/>
      <c r="G56" s="70"/>
      <c r="H56" s="69"/>
      <c r="I56" s="69"/>
      <c r="J56" s="69" t="n">
        <f aca="false">(I56+G56)</f>
        <v>0</v>
      </c>
      <c r="K56" s="72" t="n">
        <f aca="false">SUM(J58:J65)</f>
        <v>13571.555</v>
      </c>
      <c r="L56" s="72"/>
      <c r="M56" s="73" t="n">
        <f aca="false">M57</f>
        <v>16553.2256335</v>
      </c>
      <c r="N56" s="74"/>
      <c r="O56" s="181"/>
      <c r="P56" s="182"/>
      <c r="Q56" s="183"/>
      <c r="R56" s="184"/>
      <c r="S56" s="191"/>
    </row>
    <row r="57" s="193" customFormat="true" ht="19.5" hidden="false" customHeight="true" outlineLevel="0" collapsed="false">
      <c r="A57" s="133"/>
      <c r="B57" s="78" t="s">
        <v>107</v>
      </c>
      <c r="C57" s="79" t="s">
        <v>108</v>
      </c>
      <c r="D57" s="134"/>
      <c r="E57" s="134"/>
      <c r="F57" s="135"/>
      <c r="G57" s="135"/>
      <c r="H57" s="134"/>
      <c r="I57" s="134"/>
      <c r="J57" s="134" t="n">
        <f aca="false">(I57+G57)</f>
        <v>0</v>
      </c>
      <c r="K57" s="136" t="n">
        <f aca="false">SUM(J58:J65)</f>
        <v>13571.555</v>
      </c>
      <c r="L57" s="136"/>
      <c r="M57" s="137" t="n">
        <f aca="false">SUM(J58:J65)+SUM(L58:L65)</f>
        <v>16553.2256335</v>
      </c>
      <c r="N57" s="138"/>
      <c r="O57" s="143"/>
      <c r="P57" s="148"/>
      <c r="Q57" s="149"/>
      <c r="R57" s="150"/>
      <c r="S57" s="85"/>
    </row>
    <row r="58" s="194" customFormat="true" ht="30" hidden="false" customHeight="true" outlineLevel="0" collapsed="false">
      <c r="A58" s="86" t="s">
        <v>109</v>
      </c>
      <c r="B58" s="174" t="s">
        <v>43</v>
      </c>
      <c r="C58" s="103" t="s">
        <v>110</v>
      </c>
      <c r="D58" s="104" t="n">
        <v>60</v>
      </c>
      <c r="E58" s="90" t="s">
        <v>85</v>
      </c>
      <c r="F58" s="105" t="n">
        <f aca="false">(0.12*R8)+(0.12*R4)</f>
        <v>5.874</v>
      </c>
      <c r="G58" s="105" t="n">
        <f aca="false">F58*D58</f>
        <v>352.44</v>
      </c>
      <c r="H58" s="106" t="n">
        <v>3.94</v>
      </c>
      <c r="I58" s="106" t="n">
        <f aca="false">H58*D58</f>
        <v>236.4</v>
      </c>
      <c r="J58" s="93" t="n">
        <f aca="false">(I58+G58)</f>
        <v>588.84</v>
      </c>
      <c r="K58" s="151"/>
      <c r="L58" s="93" t="n">
        <f aca="false">J58*$G$11</f>
        <v>129.368148</v>
      </c>
      <c r="M58" s="152"/>
      <c r="N58" s="129"/>
      <c r="P58" s="64"/>
      <c r="Q58" s="65"/>
      <c r="R58" s="66"/>
      <c r="S58" s="5"/>
    </row>
    <row r="59" s="194" customFormat="true" ht="30" hidden="false" customHeight="true" outlineLevel="0" collapsed="false">
      <c r="A59" s="86" t="s">
        <v>111</v>
      </c>
      <c r="B59" s="174" t="s">
        <v>47</v>
      </c>
      <c r="C59" s="103" t="s">
        <v>112</v>
      </c>
      <c r="D59" s="104" t="n">
        <v>2</v>
      </c>
      <c r="E59" s="90" t="s">
        <v>52</v>
      </c>
      <c r="F59" s="105" t="n">
        <f aca="false">(1.1*R8)+(1.1*R4)</f>
        <v>53.845</v>
      </c>
      <c r="G59" s="105" t="n">
        <f aca="false">F59*D59</f>
        <v>107.69</v>
      </c>
      <c r="H59" s="106" t="n">
        <v>60.69</v>
      </c>
      <c r="I59" s="106" t="n">
        <f aca="false">H59*D59</f>
        <v>121.38</v>
      </c>
      <c r="J59" s="93" t="n">
        <f aca="false">(I59+G59)</f>
        <v>229.07</v>
      </c>
      <c r="K59" s="151"/>
      <c r="L59" s="93" t="n">
        <f aca="false">J59*$G$11</f>
        <v>50.326679</v>
      </c>
      <c r="M59" s="152"/>
      <c r="N59" s="129"/>
      <c r="P59" s="64"/>
      <c r="Q59" s="65"/>
      <c r="R59" s="66"/>
      <c r="S59" s="5"/>
    </row>
    <row r="60" s="194" customFormat="true" ht="30" hidden="false" customHeight="true" outlineLevel="0" collapsed="false">
      <c r="A60" s="99" t="s">
        <v>113</v>
      </c>
      <c r="B60" s="174" t="s">
        <v>50</v>
      </c>
      <c r="C60" s="103" t="s">
        <v>114</v>
      </c>
      <c r="D60" s="104" t="n">
        <v>16</v>
      </c>
      <c r="E60" s="90" t="s">
        <v>52</v>
      </c>
      <c r="F60" s="105" t="n">
        <f aca="false">(0.5*R8)+(0.5*R4)</f>
        <v>24.475</v>
      </c>
      <c r="G60" s="105" t="n">
        <f aca="false">F60*D60</f>
        <v>391.6</v>
      </c>
      <c r="H60" s="106" t="n">
        <v>53</v>
      </c>
      <c r="I60" s="106" t="n">
        <f aca="false">H60*D60</f>
        <v>848</v>
      </c>
      <c r="J60" s="93" t="n">
        <f aca="false">(I60+G60)</f>
        <v>1239.6</v>
      </c>
      <c r="K60" s="151"/>
      <c r="L60" s="93" t="n">
        <f aca="false">J60*$G$11</f>
        <v>272.34012</v>
      </c>
      <c r="M60" s="152"/>
      <c r="N60" s="129"/>
      <c r="P60" s="64"/>
      <c r="Q60" s="65"/>
      <c r="R60" s="66"/>
      <c r="S60" s="5"/>
    </row>
    <row r="61" s="194" customFormat="true" ht="30" hidden="false" customHeight="true" outlineLevel="0" collapsed="false">
      <c r="A61" s="99" t="s">
        <v>113</v>
      </c>
      <c r="B61" s="174" t="s">
        <v>62</v>
      </c>
      <c r="C61" s="103" t="s">
        <v>115</v>
      </c>
      <c r="D61" s="104" t="n">
        <v>80</v>
      </c>
      <c r="E61" s="90" t="s">
        <v>52</v>
      </c>
      <c r="F61" s="105" t="n">
        <f aca="false">(0.5*R8)+(0.5*R4)</f>
        <v>24.475</v>
      </c>
      <c r="G61" s="105" t="n">
        <f aca="false">F61*D61</f>
        <v>1958</v>
      </c>
      <c r="H61" s="106" t="n">
        <v>99.36</v>
      </c>
      <c r="I61" s="106" t="n">
        <f aca="false">H61*D61</f>
        <v>7948.8</v>
      </c>
      <c r="J61" s="93" t="n">
        <f aca="false">(I61+G61)</f>
        <v>9906.8</v>
      </c>
      <c r="K61" s="151"/>
      <c r="L61" s="93" t="n">
        <f aca="false">J61*$G$11</f>
        <v>2176.52396</v>
      </c>
      <c r="M61" s="152"/>
      <c r="N61" s="129"/>
      <c r="P61" s="64"/>
      <c r="Q61" s="65"/>
      <c r="R61" s="66"/>
      <c r="S61" s="5"/>
    </row>
    <row r="62" s="194" customFormat="true" ht="30" hidden="false" customHeight="true" outlineLevel="0" collapsed="false">
      <c r="A62" s="86" t="s">
        <v>116</v>
      </c>
      <c r="B62" s="174" t="s">
        <v>117</v>
      </c>
      <c r="C62" s="103" t="s">
        <v>118</v>
      </c>
      <c r="D62" s="104" t="n">
        <v>1</v>
      </c>
      <c r="E62" s="90" t="s">
        <v>52</v>
      </c>
      <c r="F62" s="105" t="n">
        <f aca="false">(1.1*R8)+(1.1*R4)</f>
        <v>53.845</v>
      </c>
      <c r="G62" s="105" t="n">
        <f aca="false">F62*D62</f>
        <v>53.845</v>
      </c>
      <c r="H62" s="106" t="n">
        <v>110.72</v>
      </c>
      <c r="I62" s="106" t="n">
        <f aca="false">H62*D62</f>
        <v>110.72</v>
      </c>
      <c r="J62" s="93" t="n">
        <f aca="false">(I62+G62)</f>
        <v>164.565</v>
      </c>
      <c r="K62" s="151"/>
      <c r="L62" s="93" t="n">
        <f aca="false">J62*$G$11</f>
        <v>36.1549305</v>
      </c>
      <c r="M62" s="152"/>
      <c r="N62" s="129"/>
      <c r="P62" s="64"/>
      <c r="Q62" s="65"/>
      <c r="R62" s="66"/>
      <c r="S62" s="5"/>
    </row>
    <row r="63" s="194" customFormat="true" ht="30" hidden="false" customHeight="true" outlineLevel="0" collapsed="false">
      <c r="A63" s="86" t="s">
        <v>119</v>
      </c>
      <c r="B63" s="174" t="s">
        <v>120</v>
      </c>
      <c r="C63" s="103" t="s">
        <v>121</v>
      </c>
      <c r="D63" s="104" t="n">
        <v>2</v>
      </c>
      <c r="E63" s="90" t="s">
        <v>52</v>
      </c>
      <c r="F63" s="105" t="n">
        <f aca="false">(1*R8)+(1*R4)</f>
        <v>48.95</v>
      </c>
      <c r="G63" s="105" t="n">
        <f aca="false">F63*D63</f>
        <v>97.9</v>
      </c>
      <c r="H63" s="106" t="n">
        <v>543.61</v>
      </c>
      <c r="I63" s="106" t="n">
        <f aca="false">H63*D63</f>
        <v>1087.22</v>
      </c>
      <c r="J63" s="93" t="n">
        <f aca="false">(I63+G63)</f>
        <v>1185.12</v>
      </c>
      <c r="K63" s="151"/>
      <c r="L63" s="93" t="n">
        <f aca="false">J63*$G$11</f>
        <v>260.370864</v>
      </c>
      <c r="M63" s="152"/>
      <c r="N63" s="129"/>
      <c r="P63" s="64"/>
      <c r="Q63" s="65"/>
      <c r="R63" s="66"/>
      <c r="S63" s="5"/>
    </row>
    <row r="64" s="36" customFormat="true" ht="30.75" hidden="false" customHeight="true" outlineLevel="0" collapsed="false">
      <c r="A64" s="195" t="s">
        <v>122</v>
      </c>
      <c r="B64" s="174" t="s">
        <v>123</v>
      </c>
      <c r="C64" s="103" t="s">
        <v>124</v>
      </c>
      <c r="D64" s="104" t="n">
        <v>2</v>
      </c>
      <c r="E64" s="90" t="s">
        <v>52</v>
      </c>
      <c r="F64" s="105" t="n">
        <v>14.75</v>
      </c>
      <c r="G64" s="105" t="n">
        <f aca="false">F64*D64</f>
        <v>29.5</v>
      </c>
      <c r="H64" s="106" t="n">
        <v>16.15</v>
      </c>
      <c r="I64" s="106" t="n">
        <f aca="false">H64*D64</f>
        <v>32.3</v>
      </c>
      <c r="J64" s="93" t="n">
        <f aca="false">(I64+G64)</f>
        <v>61.8</v>
      </c>
      <c r="K64" s="151"/>
      <c r="L64" s="93" t="n">
        <f aca="false">J64*$G$11</f>
        <v>13.57746</v>
      </c>
      <c r="M64" s="152"/>
      <c r="N64" s="196"/>
      <c r="O64" s="194"/>
      <c r="P64" s="64"/>
      <c r="Q64" s="65"/>
      <c r="R64" s="66"/>
      <c r="S64" s="5"/>
    </row>
    <row r="65" customFormat="false" ht="30" hidden="false" customHeight="true" outlineLevel="0" collapsed="false">
      <c r="A65" s="195" t="s">
        <v>125</v>
      </c>
      <c r="B65" s="174" t="s">
        <v>126</v>
      </c>
      <c r="C65" s="103" t="s">
        <v>127</v>
      </c>
      <c r="D65" s="104" t="n">
        <v>4</v>
      </c>
      <c r="E65" s="90" t="s">
        <v>52</v>
      </c>
      <c r="F65" s="105" t="n">
        <v>26.17</v>
      </c>
      <c r="G65" s="105" t="n">
        <f aca="false">F65*D65</f>
        <v>104.68</v>
      </c>
      <c r="H65" s="106" t="n">
        <v>22.77</v>
      </c>
      <c r="I65" s="106" t="n">
        <f aca="false">H65*D65</f>
        <v>91.08</v>
      </c>
      <c r="J65" s="93" t="n">
        <f aca="false">(I65+G65)</f>
        <v>195.76</v>
      </c>
      <c r="K65" s="151"/>
      <c r="L65" s="93" t="n">
        <f aca="false">J65*$G$11</f>
        <v>43.008472</v>
      </c>
      <c r="M65" s="152"/>
      <c r="N65" s="196"/>
      <c r="O65" s="197"/>
      <c r="P65" s="198"/>
      <c r="Q65" s="199"/>
      <c r="R65" s="66"/>
    </row>
    <row r="66" s="36" customFormat="true" ht="15" hidden="false" customHeight="false" outlineLevel="0" collapsed="false">
      <c r="A66" s="186"/>
      <c r="B66" s="187"/>
      <c r="C66" s="187"/>
      <c r="D66" s="187"/>
      <c r="E66" s="187"/>
      <c r="F66" s="188"/>
      <c r="G66" s="188"/>
      <c r="H66" s="187"/>
      <c r="I66" s="187"/>
      <c r="J66" s="179"/>
      <c r="K66" s="16"/>
      <c r="L66" s="16"/>
      <c r="M66" s="200"/>
      <c r="N66" s="9"/>
      <c r="O66" s="201"/>
      <c r="P66" s="198"/>
      <c r="Q66" s="199"/>
      <c r="R66" s="66"/>
      <c r="S66" s="1"/>
    </row>
    <row r="67" s="181" customFormat="true" ht="19.5" hidden="false" customHeight="true" outlineLevel="0" collapsed="false">
      <c r="A67" s="67"/>
      <c r="B67" s="68" t="n">
        <v>8</v>
      </c>
      <c r="C67" s="69" t="s">
        <v>128</v>
      </c>
      <c r="D67" s="69"/>
      <c r="E67" s="69"/>
      <c r="F67" s="70"/>
      <c r="G67" s="70"/>
      <c r="H67" s="69"/>
      <c r="I67" s="69"/>
      <c r="J67" s="69" t="n">
        <f aca="false">(I67+G67)</f>
        <v>0</v>
      </c>
      <c r="K67" s="72" t="n">
        <f aca="false">J68+J69+J70+J71+J72</f>
        <v>12309.29686</v>
      </c>
      <c r="L67" s="72"/>
      <c r="M67" s="202" t="n">
        <f aca="false">SUM(J68:J72)+SUM(L68:L72)</f>
        <v>15013.649380142</v>
      </c>
      <c r="N67" s="74"/>
      <c r="O67" s="203"/>
      <c r="P67" s="203"/>
      <c r="Q67" s="203"/>
      <c r="R67" s="57"/>
      <c r="S67" s="57"/>
    </row>
    <row r="68" s="110" customFormat="true" ht="30" hidden="false" customHeight="true" outlineLevel="0" collapsed="false">
      <c r="A68" s="195" t="s">
        <v>129</v>
      </c>
      <c r="B68" s="204" t="s">
        <v>43</v>
      </c>
      <c r="C68" s="205" t="s">
        <v>130</v>
      </c>
      <c r="D68" s="206" t="n">
        <v>32.61</v>
      </c>
      <c r="E68" s="207" t="s">
        <v>45</v>
      </c>
      <c r="F68" s="208" t="n">
        <v>21.14</v>
      </c>
      <c r="G68" s="208" t="n">
        <f aca="false">F68*D68</f>
        <v>689.3754</v>
      </c>
      <c r="H68" s="209" t="n">
        <v>156.12</v>
      </c>
      <c r="I68" s="209" t="n">
        <f aca="false">D68*H68</f>
        <v>5091.0732</v>
      </c>
      <c r="J68" s="93" t="n">
        <f aca="false">(I68+G68)</f>
        <v>5780.4486</v>
      </c>
      <c r="K68" s="210"/>
      <c r="L68" s="93" t="n">
        <f aca="false">J68*$G$11</f>
        <v>1269.96455742</v>
      </c>
      <c r="M68" s="211"/>
      <c r="N68" s="212"/>
      <c r="O68" s="201"/>
      <c r="P68" s="201"/>
      <c r="Q68" s="201"/>
      <c r="R68" s="36"/>
      <c r="S68" s="5"/>
    </row>
    <row r="69" s="110" customFormat="true" ht="30" hidden="false" customHeight="true" outlineLevel="0" collapsed="false">
      <c r="A69" s="99" t="s">
        <v>131</v>
      </c>
      <c r="B69" s="204" t="s">
        <v>47</v>
      </c>
      <c r="C69" s="103" t="s">
        <v>132</v>
      </c>
      <c r="D69" s="104" t="n">
        <v>111.5</v>
      </c>
      <c r="E69" s="90" t="s">
        <v>45</v>
      </c>
      <c r="F69" s="105" t="n">
        <f aca="false">(1.1*R13)+(0.55*R4)</f>
        <v>41.437</v>
      </c>
      <c r="G69" s="105" t="n">
        <f aca="false">F69*D69</f>
        <v>4620.2255</v>
      </c>
      <c r="H69" s="106" t="n">
        <v>11.48</v>
      </c>
      <c r="I69" s="106" t="n">
        <f aca="false">D69*H69</f>
        <v>1280.02</v>
      </c>
      <c r="J69" s="93" t="n">
        <f aca="false">(I69+G69)</f>
        <v>5900.2455</v>
      </c>
      <c r="K69" s="210"/>
      <c r="L69" s="93" t="n">
        <f aca="false">J69*$G$11</f>
        <v>1296.28393635</v>
      </c>
      <c r="M69" s="211"/>
      <c r="N69" s="129"/>
      <c r="O69" s="213"/>
      <c r="P69" s="213"/>
      <c r="Q69" s="213"/>
      <c r="S69" s="5"/>
    </row>
    <row r="70" s="110" customFormat="true" ht="30" hidden="false" customHeight="true" outlineLevel="0" collapsed="false">
      <c r="A70" s="86" t="s">
        <v>104</v>
      </c>
      <c r="B70" s="102" t="s">
        <v>50</v>
      </c>
      <c r="C70" s="103" t="s">
        <v>105</v>
      </c>
      <c r="D70" s="104" t="n">
        <v>3</v>
      </c>
      <c r="E70" s="101" t="s">
        <v>52</v>
      </c>
      <c r="F70" s="101" t="n">
        <v>9.51</v>
      </c>
      <c r="G70" s="101" t="n">
        <f aca="false">F70*D70</f>
        <v>28.53</v>
      </c>
      <c r="H70" s="106" t="n">
        <v>11.85</v>
      </c>
      <c r="I70" s="106" t="n">
        <f aca="false">D70*H70</f>
        <v>35.55</v>
      </c>
      <c r="J70" s="93" t="n">
        <f aca="false">(I70+G70)</f>
        <v>64.08</v>
      </c>
      <c r="K70" s="210"/>
      <c r="L70" s="93" t="n">
        <f aca="false">J70*$G$11</f>
        <v>14.078376</v>
      </c>
      <c r="M70" s="211"/>
      <c r="N70" s="129"/>
      <c r="O70" s="213"/>
      <c r="P70" s="198"/>
      <c r="Q70" s="199"/>
      <c r="R70" s="66"/>
      <c r="S70" s="5"/>
    </row>
    <row r="71" s="36" customFormat="true" ht="30.75" hidden="false" customHeight="true" outlineLevel="0" collapsed="false">
      <c r="A71" s="195" t="s">
        <v>133</v>
      </c>
      <c r="B71" s="214" t="s">
        <v>62</v>
      </c>
      <c r="C71" s="103" t="s">
        <v>134</v>
      </c>
      <c r="D71" s="104" t="n">
        <v>12.14</v>
      </c>
      <c r="E71" s="90" t="s">
        <v>85</v>
      </c>
      <c r="F71" s="105" t="n">
        <v>9.72</v>
      </c>
      <c r="G71" s="105" t="n">
        <f aca="false">F71*D71</f>
        <v>118.0008</v>
      </c>
      <c r="H71" s="106" t="n">
        <v>20.94</v>
      </c>
      <c r="I71" s="106" t="n">
        <f aca="false">D71*H71</f>
        <v>254.2116</v>
      </c>
      <c r="J71" s="93" t="n">
        <f aca="false">(I71+G71)</f>
        <v>372.2124</v>
      </c>
      <c r="K71" s="210"/>
      <c r="L71" s="93" t="n">
        <f aca="false">J71*$G$11</f>
        <v>81.77506428</v>
      </c>
      <c r="M71" s="211"/>
      <c r="N71" s="129"/>
      <c r="O71" s="213"/>
      <c r="P71" s="213"/>
      <c r="Q71" s="213"/>
      <c r="R71" s="110"/>
      <c r="S71" s="5"/>
    </row>
    <row r="72" s="36" customFormat="true" ht="30" hidden="false" customHeight="true" outlineLevel="0" collapsed="false">
      <c r="A72" s="99" t="s">
        <v>135</v>
      </c>
      <c r="B72" s="214" t="s">
        <v>117</v>
      </c>
      <c r="C72" s="103" t="s">
        <v>136</v>
      </c>
      <c r="D72" s="104" t="n">
        <v>5.06</v>
      </c>
      <c r="E72" s="90" t="s">
        <v>45</v>
      </c>
      <c r="F72" s="105" t="n">
        <f aca="false">(0.6*R4)+(0.6*R5)</f>
        <v>28.266</v>
      </c>
      <c r="G72" s="105" t="n">
        <f aca="false">F72*D72</f>
        <v>143.02596</v>
      </c>
      <c r="H72" s="106" t="n">
        <v>9.74</v>
      </c>
      <c r="I72" s="106" t="n">
        <f aca="false">D72*H72</f>
        <v>49.2844</v>
      </c>
      <c r="J72" s="93" t="n">
        <f aca="false">(I72+G72)</f>
        <v>192.31036</v>
      </c>
      <c r="K72" s="210"/>
      <c r="L72" s="93" t="n">
        <f aca="false">J72*$G$11</f>
        <v>42.250586092</v>
      </c>
      <c r="M72" s="211"/>
      <c r="N72" s="129"/>
      <c r="O72" s="213"/>
      <c r="P72" s="213"/>
      <c r="Q72" s="213"/>
      <c r="R72" s="110"/>
      <c r="S72" s="5"/>
    </row>
    <row r="73" s="194" customFormat="true" ht="15" hidden="false" customHeight="false" outlineLevel="0" collapsed="false">
      <c r="A73" s="186"/>
      <c r="B73" s="187"/>
      <c r="C73" s="187"/>
      <c r="D73" s="187"/>
      <c r="E73" s="187"/>
      <c r="F73" s="188"/>
      <c r="G73" s="188"/>
      <c r="H73" s="187"/>
      <c r="I73" s="187"/>
      <c r="J73" s="179"/>
      <c r="K73" s="16"/>
      <c r="L73" s="16"/>
      <c r="M73" s="200"/>
      <c r="N73" s="9"/>
      <c r="O73" s="201"/>
      <c r="P73" s="198"/>
      <c r="Q73" s="199"/>
      <c r="R73" s="66"/>
      <c r="S73" s="1"/>
    </row>
    <row r="74" s="76" customFormat="true" ht="20.25" hidden="false" customHeight="true" outlineLevel="0" collapsed="false">
      <c r="A74" s="180"/>
      <c r="B74" s="68" t="n">
        <v>9</v>
      </c>
      <c r="C74" s="69" t="s">
        <v>137</v>
      </c>
      <c r="D74" s="69"/>
      <c r="E74" s="69"/>
      <c r="F74" s="70"/>
      <c r="G74" s="70"/>
      <c r="H74" s="69"/>
      <c r="I74" s="69"/>
      <c r="J74" s="69" t="n">
        <f aca="false">(I74+G74)</f>
        <v>0</v>
      </c>
      <c r="K74" s="72" t="n">
        <f aca="false">J75+J76</f>
        <v>2781.16</v>
      </c>
      <c r="L74" s="72"/>
      <c r="M74" s="202" t="n">
        <f aca="false">K74+L75+L76</f>
        <v>3392.180852</v>
      </c>
      <c r="N74" s="74"/>
      <c r="O74" s="215"/>
      <c r="P74" s="216"/>
      <c r="Q74" s="217"/>
      <c r="R74" s="184"/>
      <c r="S74" s="57"/>
    </row>
    <row r="75" s="110" customFormat="true" ht="30" hidden="false" customHeight="true" outlineLevel="0" collapsed="false">
      <c r="A75" s="99" t="s">
        <v>138</v>
      </c>
      <c r="B75" s="102" t="s">
        <v>43</v>
      </c>
      <c r="C75" s="175" t="s">
        <v>139</v>
      </c>
      <c r="D75" s="185" t="n">
        <v>60.18</v>
      </c>
      <c r="E75" s="218" t="s">
        <v>85</v>
      </c>
      <c r="F75" s="101" t="n">
        <f aca="false">R4</f>
        <v>21.3</v>
      </c>
      <c r="G75" s="101" t="n">
        <f aca="false">F75*D75</f>
        <v>1281.834</v>
      </c>
      <c r="H75" s="106" t="n">
        <v>18.5</v>
      </c>
      <c r="I75" s="106" t="n">
        <f aca="false">D75*H75</f>
        <v>1113.33</v>
      </c>
      <c r="J75" s="93" t="n">
        <f aca="false">(I75+G75)</f>
        <v>2395.164</v>
      </c>
      <c r="K75" s="151"/>
      <c r="L75" s="93" t="n">
        <f aca="false">J75*$G$11</f>
        <v>526.2175308</v>
      </c>
      <c r="M75" s="152"/>
      <c r="N75" s="129"/>
      <c r="P75" s="64"/>
      <c r="Q75" s="65"/>
      <c r="R75" s="66"/>
      <c r="S75" s="5"/>
    </row>
    <row r="76" s="110" customFormat="true" ht="30" hidden="false" customHeight="true" outlineLevel="0" collapsed="false">
      <c r="A76" s="99" t="s">
        <v>140</v>
      </c>
      <c r="B76" s="174" t="s">
        <v>47</v>
      </c>
      <c r="C76" s="175" t="s">
        <v>141</v>
      </c>
      <c r="D76" s="185" t="n">
        <v>1.3</v>
      </c>
      <c r="E76" s="218" t="s">
        <v>142</v>
      </c>
      <c r="F76" s="101" t="n">
        <f aca="false">R5</f>
        <v>25.81</v>
      </c>
      <c r="G76" s="101" t="n">
        <f aca="false">F76*D76</f>
        <v>33.553</v>
      </c>
      <c r="H76" s="106" t="n">
        <v>271.11</v>
      </c>
      <c r="I76" s="106" t="n">
        <f aca="false">D76*H76</f>
        <v>352.443</v>
      </c>
      <c r="J76" s="93" t="n">
        <f aca="false">(I76+G76)</f>
        <v>385.996</v>
      </c>
      <c r="K76" s="151"/>
      <c r="L76" s="93" t="n">
        <f aca="false">J76*$G$11</f>
        <v>84.8033212</v>
      </c>
      <c r="M76" s="152"/>
      <c r="N76" s="129"/>
      <c r="P76" s="64"/>
      <c r="Q76" s="65"/>
      <c r="R76" s="66"/>
      <c r="S76" s="5"/>
    </row>
    <row r="77" s="36" customFormat="true" ht="15" hidden="false" customHeight="false" outlineLevel="0" collapsed="false">
      <c r="A77" s="186"/>
      <c r="B77" s="187"/>
      <c r="C77" s="187"/>
      <c r="D77" s="187"/>
      <c r="E77" s="187"/>
      <c r="F77" s="188"/>
      <c r="G77" s="188"/>
      <c r="H77" s="187"/>
      <c r="I77" s="187"/>
      <c r="J77" s="179"/>
      <c r="K77" s="16"/>
      <c r="L77" s="16"/>
      <c r="M77" s="219"/>
      <c r="N77" s="9"/>
      <c r="P77" s="64"/>
      <c r="Q77" s="65"/>
      <c r="R77" s="66"/>
      <c r="S77" s="1"/>
    </row>
    <row r="78" s="76" customFormat="true" ht="20.25" hidden="false" customHeight="true" outlineLevel="0" collapsed="false">
      <c r="A78" s="180"/>
      <c r="B78" s="68" t="n">
        <v>10</v>
      </c>
      <c r="C78" s="69" t="s">
        <v>143</v>
      </c>
      <c r="D78" s="69"/>
      <c r="E78" s="69"/>
      <c r="F78" s="70"/>
      <c r="G78" s="70"/>
      <c r="H78" s="69"/>
      <c r="I78" s="69"/>
      <c r="J78" s="69" t="n">
        <f aca="false">(I78+G78)</f>
        <v>0</v>
      </c>
      <c r="K78" s="72" t="n">
        <f aca="false">J79</f>
        <v>375.84</v>
      </c>
      <c r="L78" s="72"/>
      <c r="M78" s="73" t="n">
        <f aca="false">K78+L79</f>
        <v>458.412048</v>
      </c>
      <c r="N78" s="74"/>
      <c r="O78" s="181"/>
      <c r="P78" s="182"/>
      <c r="Q78" s="183"/>
      <c r="R78" s="184"/>
      <c r="S78" s="57"/>
    </row>
    <row r="79" s="110" customFormat="true" ht="38.25" hidden="false" customHeight="false" outlineLevel="0" collapsed="false">
      <c r="A79" s="99" t="s">
        <v>144</v>
      </c>
      <c r="B79" s="102" t="s">
        <v>43</v>
      </c>
      <c r="C79" s="175" t="s">
        <v>145</v>
      </c>
      <c r="D79" s="185" t="n">
        <v>6</v>
      </c>
      <c r="E79" s="101" t="s">
        <v>52</v>
      </c>
      <c r="F79" s="101" t="n">
        <f aca="false">R4</f>
        <v>21.3</v>
      </c>
      <c r="G79" s="101" t="n">
        <f aca="false">F79*D79</f>
        <v>127.8</v>
      </c>
      <c r="H79" s="106" t="n">
        <v>41.34</v>
      </c>
      <c r="I79" s="106" t="n">
        <f aca="false">D79*H79</f>
        <v>248.04</v>
      </c>
      <c r="J79" s="93" t="n">
        <f aca="false">(I79+G79)</f>
        <v>375.84</v>
      </c>
      <c r="K79" s="127"/>
      <c r="L79" s="93" t="n">
        <f aca="false">J79*$G$11</f>
        <v>82.572048</v>
      </c>
      <c r="M79" s="128"/>
      <c r="N79" s="129"/>
      <c r="P79" s="64"/>
      <c r="Q79" s="65"/>
      <c r="R79" s="66"/>
      <c r="S79" s="5"/>
    </row>
    <row r="80" s="36" customFormat="true" ht="15" hidden="false" customHeight="false" outlineLevel="0" collapsed="false">
      <c r="A80" s="186"/>
      <c r="B80" s="187"/>
      <c r="C80" s="187"/>
      <c r="D80" s="187"/>
      <c r="E80" s="187"/>
      <c r="F80" s="188"/>
      <c r="G80" s="188"/>
      <c r="H80" s="187"/>
      <c r="I80" s="187"/>
      <c r="J80" s="179"/>
      <c r="K80" s="16"/>
      <c r="L80" s="16"/>
      <c r="M80" s="219"/>
      <c r="N80" s="9"/>
      <c r="P80" s="64"/>
      <c r="Q80" s="65"/>
      <c r="R80" s="66"/>
      <c r="S80" s="1"/>
    </row>
    <row r="81" s="76" customFormat="true" ht="15.75" hidden="false" customHeight="false" outlineLevel="0" collapsed="false">
      <c r="A81" s="67"/>
      <c r="B81" s="68" t="n">
        <v>11</v>
      </c>
      <c r="C81" s="69" t="s">
        <v>146</v>
      </c>
      <c r="D81" s="69"/>
      <c r="E81" s="69"/>
      <c r="F81" s="70"/>
      <c r="G81" s="70"/>
      <c r="H81" s="69"/>
      <c r="I81" s="69"/>
      <c r="J81" s="69" t="n">
        <f aca="false">(I81+G81)</f>
        <v>0</v>
      </c>
      <c r="K81" s="72" t="n">
        <f aca="false">J83+J82</f>
        <v>778.56</v>
      </c>
      <c r="L81" s="72"/>
      <c r="M81" s="73" t="n">
        <f aca="false">K81+L82+L83</f>
        <v>949.609632</v>
      </c>
      <c r="N81" s="74"/>
      <c r="S81" s="57"/>
    </row>
    <row r="82" s="36" customFormat="true" ht="30" hidden="false" customHeight="true" outlineLevel="0" collapsed="false">
      <c r="A82" s="195" t="s">
        <v>147</v>
      </c>
      <c r="B82" s="204" t="n">
        <v>1</v>
      </c>
      <c r="C82" s="220" t="s">
        <v>148</v>
      </c>
      <c r="D82" s="206" t="n">
        <v>1</v>
      </c>
      <c r="E82" s="101" t="s">
        <v>52</v>
      </c>
      <c r="F82" s="208" t="n">
        <f aca="false">R4</f>
        <v>21.3</v>
      </c>
      <c r="G82" s="208" t="n">
        <f aca="false">F82*D82</f>
        <v>21.3</v>
      </c>
      <c r="H82" s="209" t="n">
        <v>76.02</v>
      </c>
      <c r="I82" s="209" t="n">
        <f aca="false">H82*D82</f>
        <v>76.02</v>
      </c>
      <c r="J82" s="93" t="n">
        <f aca="false">(I82+G82)</f>
        <v>97.32</v>
      </c>
      <c r="K82" s="210"/>
      <c r="L82" s="93" t="n">
        <f aca="false">J82*$G$11</f>
        <v>21.381204</v>
      </c>
      <c r="M82" s="221"/>
      <c r="N82" s="212"/>
      <c r="O82" s="194"/>
      <c r="P82" s="222"/>
      <c r="Q82" s="223"/>
      <c r="R82" s="224"/>
      <c r="S82" s="5"/>
    </row>
    <row r="83" s="36" customFormat="true" ht="30" hidden="false" customHeight="true" outlineLevel="0" collapsed="false">
      <c r="A83" s="195" t="s">
        <v>147</v>
      </c>
      <c r="B83" s="204" t="n">
        <v>2</v>
      </c>
      <c r="C83" s="220" t="s">
        <v>149</v>
      </c>
      <c r="D83" s="206" t="n">
        <v>7</v>
      </c>
      <c r="E83" s="101" t="s">
        <v>52</v>
      </c>
      <c r="F83" s="208" t="n">
        <f aca="false">R4</f>
        <v>21.3</v>
      </c>
      <c r="G83" s="208" t="n">
        <f aca="false">F83*D83</f>
        <v>149.1</v>
      </c>
      <c r="H83" s="209" t="n">
        <v>76.02</v>
      </c>
      <c r="I83" s="209" t="n">
        <f aca="false">H83*D83</f>
        <v>532.14</v>
      </c>
      <c r="J83" s="93" t="n">
        <f aca="false">(I83+G83)</f>
        <v>681.24</v>
      </c>
      <c r="K83" s="210"/>
      <c r="L83" s="93" t="n">
        <f aca="false">J83*$G$11</f>
        <v>149.668428</v>
      </c>
      <c r="M83" s="221"/>
      <c r="N83" s="225"/>
      <c r="O83" s="194"/>
      <c r="P83" s="222"/>
      <c r="Q83" s="223"/>
      <c r="R83" s="224"/>
      <c r="S83" s="5"/>
    </row>
    <row r="84" s="36" customFormat="true" ht="15" hidden="false" customHeight="false" outlineLevel="0" collapsed="false">
      <c r="A84" s="186"/>
      <c r="B84" s="187"/>
      <c r="C84" s="187"/>
      <c r="D84" s="187"/>
      <c r="E84" s="187"/>
      <c r="F84" s="188"/>
      <c r="G84" s="188"/>
      <c r="H84" s="187"/>
      <c r="I84" s="187"/>
      <c r="J84" s="179"/>
      <c r="K84" s="16"/>
      <c r="L84" s="16"/>
      <c r="M84" s="219"/>
      <c r="N84" s="9"/>
      <c r="P84" s="64"/>
      <c r="Q84" s="65"/>
      <c r="R84" s="66"/>
      <c r="S84" s="1"/>
    </row>
    <row r="85" s="76" customFormat="true" ht="20.25" hidden="false" customHeight="true" outlineLevel="0" collapsed="false">
      <c r="A85" s="67"/>
      <c r="B85" s="68" t="n">
        <v>12</v>
      </c>
      <c r="C85" s="69" t="s">
        <v>150</v>
      </c>
      <c r="D85" s="69"/>
      <c r="E85" s="69"/>
      <c r="F85" s="70"/>
      <c r="G85" s="70"/>
      <c r="H85" s="69"/>
      <c r="I85" s="69"/>
      <c r="J85" s="69" t="n">
        <f aca="false">(I85+G85)</f>
        <v>0</v>
      </c>
      <c r="K85" s="72" t="n">
        <f aca="false">J86</f>
        <v>1400</v>
      </c>
      <c r="L85" s="72"/>
      <c r="M85" s="73" t="n">
        <f aca="false">K85+L86</f>
        <v>1707.58</v>
      </c>
      <c r="N85" s="74"/>
      <c r="S85" s="57"/>
    </row>
    <row r="86" s="36" customFormat="true" ht="30" hidden="false" customHeight="true" outlineLevel="0" collapsed="false">
      <c r="A86" s="195" t="s">
        <v>151</v>
      </c>
      <c r="B86" s="204" t="n">
        <v>1</v>
      </c>
      <c r="C86" s="220" t="s">
        <v>152</v>
      </c>
      <c r="D86" s="206" t="n">
        <v>17.5</v>
      </c>
      <c r="E86" s="207" t="s">
        <v>153</v>
      </c>
      <c r="F86" s="208" t="n">
        <v>80</v>
      </c>
      <c r="G86" s="208" t="n">
        <f aca="false">F86*D86</f>
        <v>1400</v>
      </c>
      <c r="H86" s="209" t="n">
        <v>0</v>
      </c>
      <c r="I86" s="209" t="n">
        <f aca="false">H86*D86</f>
        <v>0</v>
      </c>
      <c r="J86" s="93" t="n">
        <f aca="false">(I86+G86)</f>
        <v>1400</v>
      </c>
      <c r="K86" s="226"/>
      <c r="L86" s="93" t="n">
        <f aca="false">J86*$G$11</f>
        <v>307.58</v>
      </c>
      <c r="M86" s="227"/>
      <c r="N86" s="212"/>
      <c r="O86" s="194"/>
      <c r="P86" s="222"/>
      <c r="Q86" s="223"/>
      <c r="R86" s="224"/>
      <c r="S86" s="5"/>
    </row>
    <row r="87" s="36" customFormat="true" ht="15" hidden="false" customHeight="false" outlineLevel="0" collapsed="false">
      <c r="A87" s="186"/>
      <c r="B87" s="187"/>
      <c r="C87" s="187"/>
      <c r="D87" s="187"/>
      <c r="E87" s="187"/>
      <c r="F87" s="188"/>
      <c r="G87" s="188"/>
      <c r="H87" s="187"/>
      <c r="I87" s="187"/>
      <c r="J87" s="179"/>
      <c r="K87" s="16"/>
      <c r="L87" s="16"/>
      <c r="M87" s="219"/>
      <c r="N87" s="9"/>
      <c r="P87" s="64"/>
      <c r="Q87" s="65"/>
      <c r="R87" s="66"/>
      <c r="S87" s="1"/>
    </row>
    <row r="88" s="76" customFormat="true" ht="19.5" hidden="false" customHeight="true" outlineLevel="0" collapsed="false">
      <c r="A88" s="67"/>
      <c r="B88" s="68" t="n">
        <v>13</v>
      </c>
      <c r="C88" s="69" t="s">
        <v>154</v>
      </c>
      <c r="D88" s="69"/>
      <c r="E88" s="69"/>
      <c r="F88" s="70"/>
      <c r="G88" s="70"/>
      <c r="H88" s="69"/>
      <c r="I88" s="69"/>
      <c r="J88" s="69" t="n">
        <f aca="false">(I88+G88)</f>
        <v>0</v>
      </c>
      <c r="K88" s="72" t="n">
        <f aca="false">J89</f>
        <v>263.2212</v>
      </c>
      <c r="L88" s="72"/>
      <c r="M88" s="73" t="n">
        <f aca="false">K88+L89</f>
        <v>321.05089764</v>
      </c>
      <c r="N88" s="74"/>
      <c r="S88" s="57"/>
    </row>
    <row r="89" s="36" customFormat="true" ht="30" hidden="false" customHeight="true" outlineLevel="0" collapsed="false">
      <c r="A89" s="195" t="s">
        <v>155</v>
      </c>
      <c r="B89" s="204" t="s">
        <v>43</v>
      </c>
      <c r="C89" s="205" t="s">
        <v>156</v>
      </c>
      <c r="D89" s="228" t="n">
        <f aca="false">43.01*2</f>
        <v>86.02</v>
      </c>
      <c r="E89" s="207" t="s">
        <v>45</v>
      </c>
      <c r="F89" s="208" t="n">
        <f aca="false">F24</f>
        <v>2.13</v>
      </c>
      <c r="G89" s="208" t="n">
        <f aca="false">F89*D89</f>
        <v>183.2226</v>
      </c>
      <c r="H89" s="229" t="n">
        <f aca="false">H24</f>
        <v>0.93</v>
      </c>
      <c r="I89" s="209" t="n">
        <f aca="false">D89*H89</f>
        <v>79.9986</v>
      </c>
      <c r="J89" s="93" t="n">
        <f aca="false">(I89+G89)</f>
        <v>263.2212</v>
      </c>
      <c r="K89" s="16"/>
      <c r="L89" s="93" t="n">
        <f aca="false">J89*$G$11</f>
        <v>57.82969764</v>
      </c>
      <c r="M89" s="219"/>
      <c r="N89" s="9"/>
      <c r="S89" s="5"/>
    </row>
    <row r="90" s="36" customFormat="true" ht="19.5" hidden="false" customHeight="true" outlineLevel="0" collapsed="false">
      <c r="A90" s="230"/>
      <c r="B90" s="16"/>
      <c r="C90" s="16"/>
      <c r="D90" s="231"/>
      <c r="E90" s="231"/>
      <c r="F90" s="231"/>
      <c r="G90" s="231"/>
      <c r="H90" s="232"/>
      <c r="I90" s="16"/>
      <c r="J90" s="16"/>
      <c r="K90" s="16"/>
      <c r="L90" s="16"/>
      <c r="M90" s="219"/>
      <c r="N90" s="9"/>
      <c r="S90" s="5"/>
    </row>
    <row r="91" s="36" customFormat="true" ht="19.5" hidden="false" customHeight="true" outlineLevel="0" collapsed="false">
      <c r="A91" s="233" t="s">
        <v>157</v>
      </c>
      <c r="B91" s="233"/>
      <c r="C91" s="233"/>
      <c r="D91" s="233"/>
      <c r="E91" s="233"/>
      <c r="F91" s="233"/>
      <c r="G91" s="233"/>
      <c r="H91" s="233"/>
      <c r="I91" s="233"/>
      <c r="J91" s="233"/>
      <c r="K91" s="234" t="n">
        <f aca="false">K23+K29+K46+K49+K52+K56+K67+K85+K88+K17+K78+K74+K81</f>
        <v>44450.334324</v>
      </c>
      <c r="L91" s="234" t="s">
        <v>158</v>
      </c>
      <c r="M91" s="235" t="n">
        <f aca="false">M17+M23+M29+M46+M49+M56+M52+M67+M74+M78+M81+M85+M88</f>
        <v>54216.0727749828</v>
      </c>
      <c r="N91" s="236"/>
      <c r="S91" s="5"/>
    </row>
    <row r="92" customFormat="false" ht="19.5" hidden="false" customHeight="true" outlineLevel="0" collapsed="false">
      <c r="A92" s="6"/>
      <c r="B92" s="7"/>
      <c r="C92" s="7"/>
      <c r="D92" s="237"/>
      <c r="E92" s="237"/>
      <c r="F92" s="237"/>
      <c r="G92" s="237"/>
      <c r="H92" s="238"/>
      <c r="I92" s="7"/>
      <c r="J92" s="7"/>
      <c r="K92" s="239"/>
      <c r="L92" s="239"/>
      <c r="M92" s="240"/>
      <c r="N92" s="241"/>
      <c r="O92" s="36"/>
      <c r="P92" s="36"/>
      <c r="Q92" s="36"/>
      <c r="R92" s="36"/>
    </row>
    <row r="93" customFormat="false" ht="19.5" hidden="false" customHeight="true" outlineLevel="0" collapsed="false">
      <c r="A93" s="11"/>
      <c r="B93" s="9"/>
      <c r="C93" s="9"/>
      <c r="D93" s="19"/>
      <c r="E93" s="19"/>
      <c r="F93" s="19"/>
      <c r="G93" s="19"/>
      <c r="H93" s="242"/>
      <c r="I93" s="9"/>
      <c r="J93" s="243"/>
      <c r="K93" s="241"/>
      <c r="L93" s="241"/>
      <c r="M93" s="244"/>
      <c r="N93" s="241"/>
      <c r="O93" s="36"/>
      <c r="P93" s="36"/>
      <c r="Q93" s="36"/>
      <c r="R93" s="36"/>
    </row>
    <row r="94" customFormat="false" ht="12.75" hidden="false" customHeight="false" outlineLevel="0" collapsed="false">
      <c r="A94" s="11"/>
      <c r="B94" s="9"/>
      <c r="C94" s="9"/>
      <c r="D94" s="19"/>
      <c r="E94" s="19"/>
      <c r="F94" s="19"/>
      <c r="G94" s="19"/>
      <c r="H94" s="242"/>
      <c r="I94" s="9"/>
      <c r="J94" s="9"/>
      <c r="K94" s="241"/>
      <c r="L94" s="241"/>
      <c r="M94" s="244"/>
      <c r="N94" s="241"/>
    </row>
    <row r="95" customFormat="false" ht="12.75" hidden="false" customHeight="false" outlineLevel="0" collapsed="false">
      <c r="A95" s="11"/>
      <c r="B95" s="9"/>
      <c r="C95" s="9"/>
      <c r="D95" s="19"/>
      <c r="E95" s="19"/>
      <c r="F95" s="19"/>
      <c r="G95" s="19"/>
      <c r="H95" s="242"/>
      <c r="I95" s="9"/>
      <c r="J95" s="9"/>
      <c r="K95" s="241"/>
      <c r="L95" s="241"/>
      <c r="M95" s="244"/>
      <c r="N95" s="241"/>
    </row>
    <row r="96" customFormat="false" ht="16.5" hidden="false" customHeight="false" outlineLevel="0" collapsed="false">
      <c r="A96" s="11"/>
      <c r="B96" s="245"/>
      <c r="C96" s="246"/>
      <c r="D96" s="247"/>
      <c r="E96" s="9"/>
      <c r="F96" s="9"/>
      <c r="G96" s="9"/>
      <c r="H96" s="9"/>
      <c r="I96" s="247"/>
      <c r="J96" s="9"/>
      <c r="K96" s="241"/>
      <c r="L96" s="241"/>
      <c r="M96" s="244"/>
      <c r="N96" s="241"/>
    </row>
    <row r="97" customFormat="false" ht="16.5" hidden="false" customHeight="false" outlineLevel="0" collapsed="false">
      <c r="A97" s="11"/>
      <c r="B97" s="9"/>
      <c r="C97" s="247"/>
      <c r="D97" s="248" t="s">
        <v>159</v>
      </c>
      <c r="E97" s="248"/>
      <c r="F97" s="248"/>
      <c r="G97" s="248"/>
      <c r="H97" s="248"/>
      <c r="I97" s="9"/>
      <c r="J97" s="9"/>
      <c r="K97" s="241"/>
      <c r="L97" s="241"/>
      <c r="M97" s="244"/>
      <c r="N97" s="241"/>
    </row>
    <row r="98" customFormat="false" ht="16.5" hidden="false" customHeight="false" outlineLevel="0" collapsed="false">
      <c r="A98" s="11"/>
      <c r="B98" s="9"/>
      <c r="C98" s="9"/>
      <c r="D98" s="249" t="s">
        <v>160</v>
      </c>
      <c r="E98" s="249"/>
      <c r="F98" s="249"/>
      <c r="G98" s="249"/>
      <c r="H98" s="249"/>
      <c r="I98" s="9"/>
      <c r="J98" s="250"/>
      <c r="K98" s="13"/>
      <c r="L98" s="13"/>
      <c r="M98" s="14"/>
      <c r="N98" s="13"/>
    </row>
    <row r="99" customFormat="false" ht="13.5" hidden="false" customHeight="false" outlineLevel="0" collapsed="false">
      <c r="A99" s="29"/>
      <c r="B99" s="30"/>
      <c r="C99" s="30"/>
      <c r="D99" s="251"/>
      <c r="E99" s="251"/>
      <c r="F99" s="251"/>
      <c r="G99" s="251"/>
      <c r="H99" s="252"/>
      <c r="I99" s="30"/>
      <c r="J99" s="30"/>
      <c r="K99" s="253"/>
      <c r="L99" s="253"/>
      <c r="M99" s="254"/>
      <c r="N99" s="13"/>
    </row>
    <row r="107" customFormat="false" ht="12.75" hidden="false" customHeight="false" outlineLevel="0" collapsed="false">
      <c r="I107" s="2"/>
    </row>
    <row r="108" customFormat="false" ht="12.75" hidden="false" customHeight="false" outlineLevel="0" collapsed="false">
      <c r="I108" s="2"/>
    </row>
    <row r="109" customFormat="false" ht="12.75" hidden="false" customHeight="false" outlineLevel="0" collapsed="false">
      <c r="I109" s="2"/>
    </row>
    <row r="110" customFormat="false" ht="12.75" hidden="false" customHeight="false" outlineLevel="0" collapsed="false">
      <c r="I110" s="2"/>
    </row>
    <row r="111" customFormat="false" ht="12.75" hidden="false" customHeight="false" outlineLevel="0" collapsed="false">
      <c r="I111" s="2"/>
    </row>
    <row r="112" customFormat="false" ht="12.75" hidden="false" customHeight="false" outlineLevel="0" collapsed="false">
      <c r="I112" s="2"/>
    </row>
    <row r="113" customFormat="false" ht="12.75" hidden="false" customHeight="false" outlineLevel="0" collapsed="false">
      <c r="I113" s="2"/>
    </row>
    <row r="114" customFormat="false" ht="12.75" hidden="false" customHeight="false" outlineLevel="0" collapsed="false">
      <c r="I114" s="2"/>
    </row>
    <row r="115" customFormat="false" ht="12.75" hidden="false" customHeight="false" outlineLevel="0" collapsed="false">
      <c r="I115" s="2"/>
    </row>
    <row r="116" customFormat="false" ht="12.75" hidden="false" customHeight="false" outlineLevel="0" collapsed="false">
      <c r="I116" s="2"/>
    </row>
    <row r="117" customFormat="false" ht="12.75" hidden="false" customHeight="false" outlineLevel="0" collapsed="false">
      <c r="I117" s="2"/>
    </row>
    <row r="118" customFormat="false" ht="12.75" hidden="false" customHeight="false" outlineLevel="0" collapsed="false">
      <c r="I118" s="2"/>
    </row>
    <row r="119" customFormat="false" ht="12.75" hidden="false" customHeight="false" outlineLevel="0" collapsed="false">
      <c r="I119" s="2"/>
    </row>
    <row r="120" customFormat="false" ht="12.75" hidden="false" customHeight="false" outlineLevel="0" collapsed="false">
      <c r="I120" s="2"/>
    </row>
    <row r="121" customFormat="false" ht="12.75" hidden="false" customHeight="false" outlineLevel="0" collapsed="false">
      <c r="I121" s="2"/>
    </row>
    <row r="122" customFormat="false" ht="12.75" hidden="false" customHeight="false" outlineLevel="0" collapsed="false">
      <c r="I122" s="2"/>
    </row>
    <row r="123" customFormat="false" ht="12.75" hidden="false" customHeight="false" outlineLevel="0" collapsed="false">
      <c r="I123" s="2"/>
    </row>
    <row r="124" customFormat="false" ht="12.75" hidden="false" customHeight="false" outlineLevel="0" collapsed="false">
      <c r="I124" s="2"/>
    </row>
    <row r="125" customFormat="false" ht="12.75" hidden="false" customHeight="false" outlineLevel="0" collapsed="false">
      <c r="I125" s="2"/>
    </row>
    <row r="126" customFormat="false" ht="12.75" hidden="false" customHeight="false" outlineLevel="0" collapsed="false">
      <c r="I126" s="2"/>
    </row>
    <row r="127" customFormat="false" ht="12.75" hidden="false" customHeight="false" outlineLevel="0" collapsed="false">
      <c r="I127" s="2"/>
    </row>
    <row r="128" customFormat="false" ht="12.75" hidden="false" customHeight="false" outlineLevel="0" collapsed="false">
      <c r="I128" s="2"/>
    </row>
    <row r="129" customFormat="false" ht="12.75" hidden="false" customHeight="false" outlineLevel="0" collapsed="false">
      <c r="I129" s="2"/>
    </row>
    <row r="130" customFormat="false" ht="12.75" hidden="false" customHeight="false" outlineLevel="0" collapsed="false">
      <c r="I130" s="2"/>
    </row>
    <row r="131" customFormat="false" ht="12.75" hidden="false" customHeight="false" outlineLevel="0" collapsed="false">
      <c r="I131" s="2"/>
    </row>
    <row r="132" customFormat="false" ht="12.75" hidden="false" customHeight="false" outlineLevel="0" collapsed="false">
      <c r="I132" s="2"/>
    </row>
    <row r="133" customFormat="false" ht="12.75" hidden="false" customHeight="false" outlineLevel="0" collapsed="false">
      <c r="I133" s="2"/>
    </row>
    <row r="134" customFormat="false" ht="12.75" hidden="false" customHeight="false" outlineLevel="0" collapsed="false">
      <c r="I134" s="2"/>
    </row>
    <row r="135" customFormat="false" ht="12.75" hidden="false" customHeight="false" outlineLevel="0" collapsed="false">
      <c r="I135" s="2"/>
    </row>
    <row r="136" customFormat="false" ht="12.75" hidden="false" customHeight="false" outlineLevel="0" collapsed="false">
      <c r="I136" s="2"/>
    </row>
  </sheetData>
  <mergeCells count="44">
    <mergeCell ref="A8:M9"/>
    <mergeCell ref="A10:M10"/>
    <mergeCell ref="A11:E11"/>
    <mergeCell ref="H11:I11"/>
    <mergeCell ref="J11:M11"/>
    <mergeCell ref="A12:E12"/>
    <mergeCell ref="H12:I12"/>
    <mergeCell ref="J12:M12"/>
    <mergeCell ref="A13:A15"/>
    <mergeCell ref="B13:B15"/>
    <mergeCell ref="C13:C15"/>
    <mergeCell ref="D13:D15"/>
    <mergeCell ref="E13:E15"/>
    <mergeCell ref="F13:G13"/>
    <mergeCell ref="H13:I13"/>
    <mergeCell ref="J13:J15"/>
    <mergeCell ref="K13:K15"/>
    <mergeCell ref="L13:L15"/>
    <mergeCell ref="M13:M15"/>
    <mergeCell ref="F14:F15"/>
    <mergeCell ref="G14:G15"/>
    <mergeCell ref="H14:H15"/>
    <mergeCell ref="I14:I15"/>
    <mergeCell ref="A16:K16"/>
    <mergeCell ref="K19:K21"/>
    <mergeCell ref="M19:M21"/>
    <mergeCell ref="K24:K27"/>
    <mergeCell ref="M24:M27"/>
    <mergeCell ref="P30:R30"/>
    <mergeCell ref="K37:K38"/>
    <mergeCell ref="M37:M38"/>
    <mergeCell ref="K53:K54"/>
    <mergeCell ref="M53:M54"/>
    <mergeCell ref="K58:K65"/>
    <mergeCell ref="M58:M65"/>
    <mergeCell ref="K68:K72"/>
    <mergeCell ref="M68:M72"/>
    <mergeCell ref="K75:K76"/>
    <mergeCell ref="M75:M76"/>
    <mergeCell ref="K82:K83"/>
    <mergeCell ref="M82:M83"/>
    <mergeCell ref="A91:J91"/>
    <mergeCell ref="D97:H97"/>
    <mergeCell ref="D98:H98"/>
  </mergeCells>
  <printOptions headings="false" gridLines="false" gridLinesSet="true" horizontalCentered="true" verticalCentered="false"/>
  <pageMargins left="0.0784722222222222" right="0.0784722222222222" top="0.39375" bottom="0.747916666666667" header="0.511811023622047" footer="0.275694444444444"/>
  <pageSetup paperSize="9" scale="3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&amp;CPágina &amp;P&amp;RPlanilha Orçamentária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47"/>
  <sheetViews>
    <sheetView showFormulas="false" showGridLines="true" showRowColHeaders="true" showZeros="true" rightToLeft="false" tabSelected="false" showOutlineSymbols="true" defaultGridColor="true" view="pageBreakPreview" topLeftCell="C1" colorId="64" zoomScale="100" zoomScaleNormal="100" zoomScalePageLayoutView="100" workbookViewId="0">
      <selection pane="topLeft" activeCell="G14" activeCellId="0" sqref="G14"/>
    </sheetView>
  </sheetViews>
  <sheetFormatPr defaultColWidth="8.6875" defaultRowHeight="12.75" zeroHeight="false" outlineLevelRow="0" outlineLevelCol="0"/>
  <cols>
    <col collapsed="false" customWidth="true" hidden="false" outlineLevel="0" max="2" min="2" style="0" width="51.71"/>
    <col collapsed="false" customWidth="true" hidden="false" outlineLevel="0" max="3" min="3" style="0" width="18.71"/>
    <col collapsed="false" customWidth="true" hidden="false" outlineLevel="0" max="4" min="4" style="0" width="10.71"/>
    <col collapsed="false" customWidth="true" hidden="false" outlineLevel="0" max="5" min="5" style="0" width="18.71"/>
    <col collapsed="false" customWidth="true" hidden="false" outlineLevel="0" max="6" min="6" style="0" width="10.71"/>
    <col collapsed="false" customWidth="true" hidden="false" outlineLevel="0" max="7" min="7" style="0" width="18.71"/>
    <col collapsed="false" customWidth="true" hidden="false" outlineLevel="0" max="8" min="8" style="0" width="10.71"/>
    <col collapsed="false" customWidth="true" hidden="false" outlineLevel="0" max="9" min="9" style="0" width="18.71"/>
  </cols>
  <sheetData>
    <row r="3" customFormat="false" ht="12.75" hidden="false" customHeight="false" outlineLevel="0" collapsed="false">
      <c r="A3" s="255" t="s">
        <v>161</v>
      </c>
      <c r="B3" s="255"/>
      <c r="C3" s="255"/>
      <c r="D3" s="255"/>
      <c r="E3" s="255"/>
      <c r="F3" s="255"/>
      <c r="G3" s="255"/>
      <c r="H3" s="255"/>
      <c r="I3" s="255"/>
      <c r="J3" s="255"/>
    </row>
    <row r="4" customFormat="false" ht="12.75" hidden="false" customHeight="false" outlineLevel="0" collapsed="false">
      <c r="A4" s="255"/>
      <c r="B4" s="255"/>
      <c r="C4" s="255"/>
      <c r="D4" s="255"/>
      <c r="E4" s="255"/>
      <c r="F4" s="255"/>
      <c r="G4" s="255"/>
      <c r="H4" s="255"/>
      <c r="I4" s="255"/>
      <c r="J4" s="255"/>
    </row>
    <row r="5" customFormat="false" ht="12.75" hidden="false" customHeight="false" outlineLevel="0" collapsed="false">
      <c r="A5" s="256"/>
      <c r="B5" s="256"/>
      <c r="C5" s="256"/>
      <c r="D5" s="256"/>
      <c r="E5" s="256"/>
      <c r="F5" s="256"/>
      <c r="G5" s="256"/>
      <c r="H5" s="256"/>
      <c r="I5" s="256"/>
      <c r="J5" s="256"/>
    </row>
    <row r="6" customFormat="false" ht="12.75" hidden="false" customHeight="false" outlineLevel="0" collapsed="false">
      <c r="A6" s="257" t="str">
        <f aca="false">'Orçamento '!A11:E11</f>
        <v>Obra: Reforma Galeria dos Presidentes</v>
      </c>
      <c r="B6" s="257"/>
      <c r="C6" s="257"/>
      <c r="D6" s="257"/>
      <c r="E6" s="257"/>
      <c r="F6" s="257"/>
      <c r="G6" s="257"/>
      <c r="H6" s="257"/>
      <c r="I6" s="258" t="s">
        <v>162</v>
      </c>
      <c r="J6" s="258" t="s">
        <v>163</v>
      </c>
    </row>
    <row r="7" customFormat="false" ht="12.75" hidden="false" customHeight="false" outlineLevel="0" collapsed="false">
      <c r="A7" s="257" t="str">
        <f aca="false">'Orçamento '!A12:E12</f>
        <v>Cliente: Câmara de Vereadores </v>
      </c>
      <c r="B7" s="257"/>
      <c r="C7" s="257"/>
      <c r="D7" s="257"/>
      <c r="E7" s="257"/>
      <c r="F7" s="257"/>
      <c r="G7" s="257"/>
      <c r="H7" s="257"/>
      <c r="I7" s="258"/>
      <c r="J7" s="258"/>
    </row>
    <row r="8" customFormat="false" ht="13.5" hidden="false" customHeight="false" outlineLevel="0" collapsed="false">
      <c r="A8" s="256"/>
      <c r="B8" s="256"/>
      <c r="C8" s="256"/>
      <c r="D8" s="256"/>
      <c r="E8" s="256"/>
      <c r="F8" s="256"/>
      <c r="G8" s="256"/>
      <c r="H8" s="256"/>
      <c r="I8" s="256"/>
      <c r="J8" s="256"/>
    </row>
    <row r="9" customFormat="false" ht="15" hidden="false" customHeight="false" outlineLevel="0" collapsed="false">
      <c r="A9" s="259" t="s">
        <v>164</v>
      </c>
      <c r="B9" s="260" t="s">
        <v>165</v>
      </c>
      <c r="C9" s="261" t="s">
        <v>166</v>
      </c>
      <c r="D9" s="261"/>
      <c r="E9" s="261" t="s">
        <v>167</v>
      </c>
      <c r="F9" s="261"/>
      <c r="G9" s="261" t="s">
        <v>168</v>
      </c>
      <c r="H9" s="261"/>
      <c r="I9" s="262" t="s">
        <v>169</v>
      </c>
      <c r="J9" s="262"/>
    </row>
    <row r="10" customFormat="false" ht="15" hidden="false" customHeight="false" outlineLevel="0" collapsed="false">
      <c r="A10" s="259"/>
      <c r="B10" s="260"/>
      <c r="C10" s="263" t="s">
        <v>170</v>
      </c>
      <c r="D10" s="263"/>
      <c r="E10" s="263" t="s">
        <v>171</v>
      </c>
      <c r="F10" s="263"/>
      <c r="G10" s="263" t="s">
        <v>172</v>
      </c>
      <c r="H10" s="263"/>
      <c r="I10" s="262"/>
      <c r="J10" s="262"/>
    </row>
    <row r="11" customFormat="false" ht="15" hidden="false" customHeight="false" outlineLevel="0" collapsed="false">
      <c r="A11" s="259"/>
      <c r="B11" s="260"/>
      <c r="C11" s="263" t="s">
        <v>173</v>
      </c>
      <c r="D11" s="263" t="s">
        <v>174</v>
      </c>
      <c r="E11" s="263" t="s">
        <v>173</v>
      </c>
      <c r="F11" s="263" t="s">
        <v>174</v>
      </c>
      <c r="G11" s="263" t="s">
        <v>173</v>
      </c>
      <c r="H11" s="263" t="s">
        <v>174</v>
      </c>
      <c r="I11" s="263" t="s">
        <v>173</v>
      </c>
      <c r="J11" s="264" t="s">
        <v>174</v>
      </c>
    </row>
    <row r="12" customFormat="false" ht="15" hidden="false" customHeight="false" outlineLevel="0" collapsed="false">
      <c r="A12" s="265" t="n">
        <v>1</v>
      </c>
      <c r="B12" s="266" t="str">
        <f aca="false">'Orçamento '!C17</f>
        <v>SERVIÇOS PRELIMINARES</v>
      </c>
      <c r="C12" s="267" t="n">
        <f aca="false">I12*D12</f>
        <v>2308.828773176</v>
      </c>
      <c r="D12" s="268" t="n">
        <v>1</v>
      </c>
      <c r="E12" s="267" t="n">
        <f aca="false">I12*F12</f>
        <v>0</v>
      </c>
      <c r="F12" s="268" t="n">
        <v>0</v>
      </c>
      <c r="G12" s="269" t="n">
        <f aca="false">I12*H12</f>
        <v>0</v>
      </c>
      <c r="H12" s="270" t="n">
        <v>0</v>
      </c>
      <c r="I12" s="271" t="n">
        <f aca="false">'Orçamento '!M17</f>
        <v>2308.828773176</v>
      </c>
      <c r="J12" s="272" t="n">
        <f aca="false">D12+F12+H12</f>
        <v>1</v>
      </c>
    </row>
    <row r="13" customFormat="false" ht="15" hidden="false" customHeight="false" outlineLevel="0" collapsed="false">
      <c r="A13" s="265"/>
      <c r="B13" s="266"/>
      <c r="C13" s="273"/>
      <c r="D13" s="274"/>
      <c r="E13" s="275"/>
      <c r="F13" s="276"/>
      <c r="G13" s="276"/>
      <c r="H13" s="277"/>
      <c r="I13" s="271"/>
      <c r="J13" s="272"/>
    </row>
    <row r="14" customFormat="false" ht="15" hidden="false" customHeight="false" outlineLevel="0" collapsed="false">
      <c r="A14" s="278" t="n">
        <v>2</v>
      </c>
      <c r="B14" s="279" t="str">
        <f aca="false">'Orçamento '!C23</f>
        <v>LIMPEZA DA OBRA</v>
      </c>
      <c r="C14" s="267" t="n">
        <f aca="false">I14*D14</f>
        <v>1097.600528845</v>
      </c>
      <c r="D14" s="268" t="n">
        <v>0.25</v>
      </c>
      <c r="E14" s="267" t="n">
        <f aca="false">I14*F14</f>
        <v>1097.600528845</v>
      </c>
      <c r="F14" s="268" t="n">
        <v>0.25</v>
      </c>
      <c r="G14" s="269" t="n">
        <f aca="false">I14*H14</f>
        <v>2195.20105769</v>
      </c>
      <c r="H14" s="270" t="n">
        <v>0.5</v>
      </c>
      <c r="I14" s="271" t="n">
        <f aca="false">'Orçamento '!M23</f>
        <v>4390.40211538</v>
      </c>
      <c r="J14" s="272" t="n">
        <f aca="false">D14+F14+H14</f>
        <v>1</v>
      </c>
    </row>
    <row r="15" customFormat="false" ht="15" hidden="false" customHeight="false" outlineLevel="0" collapsed="false">
      <c r="A15" s="278"/>
      <c r="B15" s="279"/>
      <c r="C15" s="273"/>
      <c r="D15" s="274"/>
      <c r="E15" s="280"/>
      <c r="F15" s="274"/>
      <c r="G15" s="280"/>
      <c r="H15" s="274"/>
      <c r="I15" s="271"/>
      <c r="J15" s="272"/>
    </row>
    <row r="16" customFormat="false" ht="15" hidden="false" customHeight="false" outlineLevel="0" collapsed="false">
      <c r="A16" s="265" t="n">
        <v>3</v>
      </c>
      <c r="B16" s="266" t="str">
        <f aca="false">'Orçamento '!C29</f>
        <v>DEMOLIÇÕES E RETIRADAS</v>
      </c>
      <c r="C16" s="267" t="n">
        <f aca="false">I16*D16</f>
        <v>3746.7312785048</v>
      </c>
      <c r="D16" s="268" t="n">
        <v>1</v>
      </c>
      <c r="E16" s="267" t="n">
        <f aca="false">I16*F16</f>
        <v>0</v>
      </c>
      <c r="F16" s="268" t="n">
        <v>0</v>
      </c>
      <c r="G16" s="269" t="n">
        <f aca="false">I16*H16</f>
        <v>0</v>
      </c>
      <c r="H16" s="270" t="n">
        <v>0</v>
      </c>
      <c r="I16" s="271" t="n">
        <f aca="false">'Orçamento '!M29</f>
        <v>3746.7312785048</v>
      </c>
      <c r="J16" s="272" t="n">
        <f aca="false">D16+F16+H16</f>
        <v>1</v>
      </c>
    </row>
    <row r="17" customFormat="false" ht="15" hidden="false" customHeight="false" outlineLevel="0" collapsed="false">
      <c r="A17" s="265"/>
      <c r="B17" s="266"/>
      <c r="C17" s="273"/>
      <c r="D17" s="280"/>
      <c r="E17" s="275"/>
      <c r="F17" s="276"/>
      <c r="G17" s="276"/>
      <c r="H17" s="277"/>
      <c r="I17" s="271"/>
      <c r="J17" s="272"/>
    </row>
    <row r="18" customFormat="false" ht="15" hidden="false" customHeight="false" outlineLevel="0" collapsed="false">
      <c r="A18" s="278" t="n">
        <v>4</v>
      </c>
      <c r="B18" s="279" t="str">
        <f aca="false">'Orçamento '!C46</f>
        <v>LONA PARA PROTEÇÃO PISO</v>
      </c>
      <c r="C18" s="267" t="n">
        <f aca="false">I18*D18</f>
        <v>739.6760877</v>
      </c>
      <c r="D18" s="268" t="n">
        <v>1</v>
      </c>
      <c r="E18" s="267" t="n">
        <f aca="false">I18*F18</f>
        <v>0</v>
      </c>
      <c r="F18" s="268" t="n">
        <v>0</v>
      </c>
      <c r="G18" s="269" t="n">
        <f aca="false">I18*H18</f>
        <v>0</v>
      </c>
      <c r="H18" s="270" t="n">
        <v>0</v>
      </c>
      <c r="I18" s="271" t="n">
        <f aca="false">'Orçamento '!M46</f>
        <v>739.6760877</v>
      </c>
      <c r="J18" s="272" t="n">
        <f aca="false">D18+F18+H18</f>
        <v>1</v>
      </c>
    </row>
    <row r="19" customFormat="false" ht="15" hidden="false" customHeight="false" outlineLevel="0" collapsed="false">
      <c r="A19" s="278"/>
      <c r="B19" s="279"/>
      <c r="C19" s="273"/>
      <c r="D19" s="280"/>
      <c r="E19" s="275"/>
      <c r="F19" s="276"/>
      <c r="G19" s="275"/>
      <c r="H19" s="277"/>
      <c r="I19" s="271"/>
      <c r="J19" s="272"/>
    </row>
    <row r="20" customFormat="false" ht="15" hidden="false" customHeight="false" outlineLevel="0" collapsed="false">
      <c r="A20" s="265" t="n">
        <v>5</v>
      </c>
      <c r="B20" s="281" t="str">
        <f aca="false">'Orçamento '!C49</f>
        <v>ESQUADRIAS</v>
      </c>
      <c r="C20" s="267" t="n">
        <f aca="false">I20*D20</f>
        <v>0</v>
      </c>
      <c r="D20" s="268" t="n">
        <v>0</v>
      </c>
      <c r="E20" s="267" t="n">
        <f aca="false">I20*F20</f>
        <v>1577.864905</v>
      </c>
      <c r="F20" s="268" t="n">
        <v>0.5</v>
      </c>
      <c r="G20" s="269" t="n">
        <f aca="false">I20*H20</f>
        <v>1577.864905</v>
      </c>
      <c r="H20" s="270" t="n">
        <v>0.5</v>
      </c>
      <c r="I20" s="271" t="n">
        <f aca="false">'Orçamento '!M49</f>
        <v>3155.72981</v>
      </c>
      <c r="J20" s="272" t="n">
        <f aca="false">D20+F20+H20</f>
        <v>1</v>
      </c>
    </row>
    <row r="21" customFormat="false" ht="15" hidden="false" customHeight="false" outlineLevel="0" collapsed="false">
      <c r="A21" s="265"/>
      <c r="B21" s="281"/>
      <c r="C21" s="282"/>
      <c r="D21" s="276"/>
      <c r="E21" s="280"/>
      <c r="F21" s="274"/>
      <c r="G21" s="276"/>
      <c r="H21" s="277"/>
      <c r="I21" s="271"/>
      <c r="J21" s="272"/>
    </row>
    <row r="22" customFormat="false" ht="15" hidden="false" customHeight="false" outlineLevel="0" collapsed="false">
      <c r="A22" s="278" t="n">
        <v>6</v>
      </c>
      <c r="B22" s="279" t="str">
        <f aca="false">'Orçamento '!C52</f>
        <v>FORROS, ESQUADRIAS, ESCADAS E RODAPÉS</v>
      </c>
      <c r="C22" s="267" t="n">
        <f aca="false">I22*D22</f>
        <v>0</v>
      </c>
      <c r="D22" s="283" t="n">
        <v>0</v>
      </c>
      <c r="E22" s="267" t="n">
        <f aca="false">I22*F22</f>
        <v>443.698880082</v>
      </c>
      <c r="F22" s="268" t="n">
        <v>0.3</v>
      </c>
      <c r="G22" s="269" t="n">
        <f aca="false">I22*H22</f>
        <v>1035.297386858</v>
      </c>
      <c r="H22" s="270" t="n">
        <v>0.7</v>
      </c>
      <c r="I22" s="271" t="n">
        <f aca="false">'Orçamento '!M52</f>
        <v>1478.99626694</v>
      </c>
      <c r="J22" s="272" t="n">
        <f aca="false">D22+F22+H22</f>
        <v>1</v>
      </c>
    </row>
    <row r="23" customFormat="false" ht="15" hidden="false" customHeight="false" outlineLevel="0" collapsed="false">
      <c r="A23" s="278"/>
      <c r="B23" s="279"/>
      <c r="C23" s="282"/>
      <c r="D23" s="276"/>
      <c r="E23" s="274"/>
      <c r="F23" s="274"/>
      <c r="G23" s="274"/>
      <c r="H23" s="284"/>
      <c r="I23" s="271"/>
      <c r="J23" s="272"/>
    </row>
    <row r="24" customFormat="false" ht="15" hidden="false" customHeight="false" outlineLevel="0" collapsed="false">
      <c r="A24" s="265" t="n">
        <v>7</v>
      </c>
      <c r="B24" s="281" t="str">
        <f aca="false">'Orçamento '!C56</f>
        <v>INSTALAÇÕES ELÉTRICAS</v>
      </c>
      <c r="C24" s="267" t="n">
        <f aca="false">I24*D24</f>
        <v>4965.96769005</v>
      </c>
      <c r="D24" s="268" t="n">
        <v>0.3</v>
      </c>
      <c r="E24" s="267" t="n">
        <f aca="false">I24*F24</f>
        <v>4965.96769005</v>
      </c>
      <c r="F24" s="268" t="n">
        <v>0.3</v>
      </c>
      <c r="G24" s="269" t="n">
        <f aca="false">I24*H24</f>
        <v>6621.2902534</v>
      </c>
      <c r="H24" s="270" t="n">
        <v>0.4</v>
      </c>
      <c r="I24" s="271" t="n">
        <f aca="false">'Orçamento '!M56</f>
        <v>16553.2256335</v>
      </c>
      <c r="J24" s="272" t="n">
        <f aca="false">D24+F24+H24</f>
        <v>1</v>
      </c>
    </row>
    <row r="25" customFormat="false" ht="15" hidden="false" customHeight="false" outlineLevel="0" collapsed="false">
      <c r="A25" s="265"/>
      <c r="B25" s="281"/>
      <c r="C25" s="280"/>
      <c r="D25" s="274"/>
      <c r="E25" s="280"/>
      <c r="F25" s="274"/>
      <c r="G25" s="274"/>
      <c r="H25" s="284"/>
      <c r="I25" s="271"/>
      <c r="J25" s="272"/>
    </row>
    <row r="26" customFormat="false" ht="15" hidden="false" customHeight="false" outlineLevel="0" collapsed="false">
      <c r="A26" s="278" t="n">
        <v>8</v>
      </c>
      <c r="B26" s="279" t="str">
        <f aca="false">'Orçamento '!C67</f>
        <v>ALVENARIAS, REVESTIMENTOS, E ACABAMENTOS</v>
      </c>
      <c r="C26" s="267" t="n">
        <f aca="false">I26*D26</f>
        <v>3002.7298760284</v>
      </c>
      <c r="D26" s="268" t="n">
        <v>0.2</v>
      </c>
      <c r="E26" s="267" t="n">
        <f aca="false">I26*F26</f>
        <v>6005.4597520568</v>
      </c>
      <c r="F26" s="268" t="n">
        <v>0.4</v>
      </c>
      <c r="G26" s="269" t="n">
        <f aca="false">I26*H26</f>
        <v>6005.4597520568</v>
      </c>
      <c r="H26" s="270" t="n">
        <v>0.4</v>
      </c>
      <c r="I26" s="271" t="n">
        <f aca="false">'Orçamento '!M67</f>
        <v>15013.649380142</v>
      </c>
      <c r="J26" s="272" t="n">
        <f aca="false">D26+F26+H26</f>
        <v>1</v>
      </c>
    </row>
    <row r="27" customFormat="false" ht="15" hidden="false" customHeight="false" outlineLevel="0" collapsed="false">
      <c r="A27" s="278"/>
      <c r="B27" s="279"/>
      <c r="C27" s="280"/>
      <c r="D27" s="274"/>
      <c r="E27" s="280"/>
      <c r="F27" s="274"/>
      <c r="G27" s="274"/>
      <c r="H27" s="284"/>
      <c r="I27" s="271"/>
      <c r="J27" s="272"/>
    </row>
    <row r="28" customFormat="false" ht="15" hidden="false" customHeight="false" outlineLevel="0" collapsed="false">
      <c r="A28" s="265" t="n">
        <v>9</v>
      </c>
      <c r="B28" s="281" t="str">
        <f aca="false">'Orçamento '!C74</f>
        <v>RAMPA E ESCADA</v>
      </c>
      <c r="C28" s="267" t="n">
        <f aca="false">I28*D28</f>
        <v>1356.8723408</v>
      </c>
      <c r="D28" s="268" t="n">
        <v>0.4</v>
      </c>
      <c r="E28" s="267" t="n">
        <f aca="false">I28*F28</f>
        <v>1696.090426</v>
      </c>
      <c r="F28" s="268" t="n">
        <v>0.5</v>
      </c>
      <c r="G28" s="269" t="n">
        <f aca="false">I28*H28</f>
        <v>339.2180852</v>
      </c>
      <c r="H28" s="270" t="n">
        <v>0.1</v>
      </c>
      <c r="I28" s="271" t="n">
        <f aca="false">'Orçamento '!M74</f>
        <v>3392.180852</v>
      </c>
      <c r="J28" s="272" t="n">
        <f aca="false">D28+F28+H28</f>
        <v>1</v>
      </c>
    </row>
    <row r="29" customFormat="false" ht="15" hidden="false" customHeight="false" outlineLevel="0" collapsed="false">
      <c r="A29" s="265"/>
      <c r="B29" s="281"/>
      <c r="C29" s="282"/>
      <c r="D29" s="276"/>
      <c r="E29" s="276"/>
      <c r="F29" s="276"/>
      <c r="G29" s="274"/>
      <c r="H29" s="284"/>
      <c r="I29" s="271"/>
      <c r="J29" s="272"/>
    </row>
    <row r="30" customFormat="false" ht="15" hidden="false" customHeight="false" outlineLevel="0" collapsed="false">
      <c r="A30" s="278" t="n">
        <v>10</v>
      </c>
      <c r="B30" s="279" t="str">
        <f aca="false">'Orçamento '!C78</f>
        <v>PLACAS PPCI</v>
      </c>
      <c r="C30" s="267" t="n">
        <f aca="false">I30*D30</f>
        <v>0</v>
      </c>
      <c r="D30" s="283" t="n">
        <v>0</v>
      </c>
      <c r="E30" s="267" t="n">
        <f aca="false">I30*F30</f>
        <v>0</v>
      </c>
      <c r="F30" s="268" t="n">
        <v>0</v>
      </c>
      <c r="G30" s="269" t="n">
        <f aca="false">I30*H30</f>
        <v>458.412048</v>
      </c>
      <c r="H30" s="270" t="n">
        <v>1</v>
      </c>
      <c r="I30" s="271" t="n">
        <f aca="false">'Orçamento '!M78</f>
        <v>458.412048</v>
      </c>
      <c r="J30" s="272" t="n">
        <f aca="false">D30+F30+H30</f>
        <v>1</v>
      </c>
    </row>
    <row r="31" customFormat="false" ht="15" hidden="false" customHeight="false" outlineLevel="0" collapsed="false">
      <c r="A31" s="278"/>
      <c r="B31" s="279"/>
      <c r="C31" s="282"/>
      <c r="D31" s="276"/>
      <c r="E31" s="276"/>
      <c r="F31" s="276"/>
      <c r="G31" s="274"/>
      <c r="H31" s="284"/>
      <c r="I31" s="271"/>
      <c r="J31" s="272"/>
    </row>
    <row r="32" customFormat="false" ht="15" hidden="false" customHeight="true" outlineLevel="0" collapsed="false">
      <c r="A32" s="278" t="n">
        <v>11</v>
      </c>
      <c r="B32" s="285" t="s">
        <v>146</v>
      </c>
      <c r="C32" s="267" t="n">
        <f aca="false">I32*D32</f>
        <v>0</v>
      </c>
      <c r="D32" s="283" t="n">
        <v>0</v>
      </c>
      <c r="E32" s="267" t="n">
        <f aca="false">I32*F32</f>
        <v>0</v>
      </c>
      <c r="F32" s="268" t="n">
        <v>0</v>
      </c>
      <c r="G32" s="269" t="n">
        <f aca="false">I32*H32</f>
        <v>949.609632</v>
      </c>
      <c r="H32" s="270" t="n">
        <v>1</v>
      </c>
      <c r="I32" s="271" t="n">
        <f aca="false">'Orçamento '!M81</f>
        <v>949.609632</v>
      </c>
      <c r="J32" s="272" t="n">
        <f aca="false">D32+F32+H32</f>
        <v>1</v>
      </c>
    </row>
    <row r="33" customFormat="false" ht="15" hidden="false" customHeight="false" outlineLevel="0" collapsed="false">
      <c r="A33" s="278"/>
      <c r="B33" s="285"/>
      <c r="C33" s="282"/>
      <c r="D33" s="276"/>
      <c r="E33" s="276"/>
      <c r="F33" s="276"/>
      <c r="G33" s="274"/>
      <c r="H33" s="284"/>
      <c r="I33" s="271"/>
      <c r="J33" s="272"/>
    </row>
    <row r="34" customFormat="false" ht="15" hidden="false" customHeight="false" outlineLevel="0" collapsed="false">
      <c r="A34" s="265" t="n">
        <v>12</v>
      </c>
      <c r="B34" s="266" t="str">
        <f aca="false">'Orçamento '!C85</f>
        <v>ACOMPANHAMENTO DE OBRA</v>
      </c>
      <c r="C34" s="267" t="n">
        <f aca="false">I34*D34</f>
        <v>683.032</v>
      </c>
      <c r="D34" s="268" t="n">
        <v>0.4</v>
      </c>
      <c r="E34" s="267" t="n">
        <f aca="false">I34*F34</f>
        <v>512.274</v>
      </c>
      <c r="F34" s="268" t="n">
        <v>0.3</v>
      </c>
      <c r="G34" s="269" t="n">
        <f aca="false">I34*H34</f>
        <v>512.274</v>
      </c>
      <c r="H34" s="270" t="n">
        <v>0.3</v>
      </c>
      <c r="I34" s="271" t="n">
        <f aca="false">'Orçamento '!M85</f>
        <v>1707.58</v>
      </c>
      <c r="J34" s="272" t="n">
        <f aca="false">D34+F34+H34</f>
        <v>1</v>
      </c>
    </row>
    <row r="35" customFormat="false" ht="15" hidden="false" customHeight="false" outlineLevel="0" collapsed="false">
      <c r="A35" s="265"/>
      <c r="B35" s="266"/>
      <c r="C35" s="280"/>
      <c r="D35" s="274"/>
      <c r="E35" s="280"/>
      <c r="F35" s="274"/>
      <c r="G35" s="274"/>
      <c r="H35" s="284"/>
      <c r="I35" s="271"/>
      <c r="J35" s="272"/>
    </row>
    <row r="36" customFormat="false" ht="15" hidden="false" customHeight="false" outlineLevel="0" collapsed="false">
      <c r="A36" s="278" t="n">
        <v>13</v>
      </c>
      <c r="B36" s="279" t="str">
        <f aca="false">'Orçamento '!C88</f>
        <v>LIMPEZA FINAL DA OBRA</v>
      </c>
      <c r="C36" s="267" t="n">
        <f aca="false">I36*D36</f>
        <v>0</v>
      </c>
      <c r="D36" s="283" t="n">
        <v>0</v>
      </c>
      <c r="E36" s="267" t="n">
        <f aca="false">I36*F36</f>
        <v>0</v>
      </c>
      <c r="F36" s="268" t="n">
        <v>0</v>
      </c>
      <c r="G36" s="269" t="n">
        <f aca="false">I36*H36</f>
        <v>321.05089764</v>
      </c>
      <c r="H36" s="270" t="n">
        <v>1</v>
      </c>
      <c r="I36" s="271" t="n">
        <f aca="false">'Orçamento '!M88</f>
        <v>321.05089764</v>
      </c>
      <c r="J36" s="272" t="n">
        <f aca="false">D36+F36+H36</f>
        <v>1</v>
      </c>
    </row>
    <row r="37" customFormat="false" ht="15" hidden="false" customHeight="false" outlineLevel="0" collapsed="false">
      <c r="A37" s="278"/>
      <c r="B37" s="279"/>
      <c r="C37" s="282"/>
      <c r="D37" s="276"/>
      <c r="E37" s="276"/>
      <c r="F37" s="276"/>
      <c r="G37" s="274"/>
      <c r="H37" s="284"/>
      <c r="I37" s="271"/>
      <c r="J37" s="272"/>
    </row>
    <row r="38" customFormat="false" ht="15" hidden="false" customHeight="false" outlineLevel="0" collapsed="false">
      <c r="A38" s="265" t="s">
        <v>169</v>
      </c>
      <c r="B38" s="265"/>
      <c r="C38" s="286"/>
      <c r="D38" s="287"/>
      <c r="E38" s="287"/>
      <c r="F38" s="287"/>
      <c r="G38" s="286"/>
      <c r="H38" s="287"/>
      <c r="I38" s="287"/>
      <c r="J38" s="288"/>
    </row>
    <row r="39" customFormat="false" ht="15" hidden="false" customHeight="false" outlineLevel="0" collapsed="false">
      <c r="A39" s="289"/>
      <c r="B39" s="290"/>
      <c r="C39" s="291"/>
      <c r="D39" s="291"/>
      <c r="E39" s="291"/>
      <c r="F39" s="291"/>
      <c r="G39" s="291"/>
      <c r="H39" s="291"/>
      <c r="I39" s="291"/>
      <c r="J39" s="292"/>
    </row>
    <row r="40" customFormat="false" ht="15" hidden="false" customHeight="false" outlineLevel="0" collapsed="false">
      <c r="A40" s="293" t="s">
        <v>175</v>
      </c>
      <c r="B40" s="293"/>
      <c r="C40" s="294" t="n">
        <f aca="false">SUM(C12:C37)</f>
        <v>17901.4385751042</v>
      </c>
      <c r="D40" s="295" t="n">
        <f aca="false">C40/I40</f>
        <v>0.330186929057033</v>
      </c>
      <c r="E40" s="294" t="n">
        <f aca="false">SUM(E12:E37)</f>
        <v>16298.9561820338</v>
      </c>
      <c r="F40" s="295" t="n">
        <f aca="false">E40/I40</f>
        <v>0.300629598342186</v>
      </c>
      <c r="G40" s="294" t="n">
        <f aca="false">SUM(G12:G37)</f>
        <v>20015.6780178448</v>
      </c>
      <c r="H40" s="295" t="n">
        <f aca="false">G40/I40</f>
        <v>0.369183472600781</v>
      </c>
      <c r="I40" s="296" t="n">
        <f aca="false">SUM(I12:I37)</f>
        <v>54216.0727749828</v>
      </c>
      <c r="J40" s="297" t="n">
        <f aca="false">MEDIAN(J12:J37)</f>
        <v>1</v>
      </c>
    </row>
    <row r="41" customFormat="false" ht="15.75" hidden="false" customHeight="false" outlineLevel="0" collapsed="false">
      <c r="A41" s="298" t="s">
        <v>176</v>
      </c>
      <c r="B41" s="298"/>
      <c r="C41" s="299" t="n">
        <f aca="false">D41*I40</f>
        <v>17901.4385751042</v>
      </c>
      <c r="D41" s="300" t="n">
        <f aca="false">D40</f>
        <v>0.330186929057033</v>
      </c>
      <c r="E41" s="299" t="n">
        <f aca="false">C41+E40</f>
        <v>34200.394757138</v>
      </c>
      <c r="F41" s="300" t="n">
        <f aca="false">D41+F40</f>
        <v>0.630816527399219</v>
      </c>
      <c r="G41" s="299" t="n">
        <f aca="false">E41+G40</f>
        <v>54216.0727749828</v>
      </c>
      <c r="H41" s="300" t="n">
        <f aca="false">H40+F41</f>
        <v>1</v>
      </c>
      <c r="I41" s="301"/>
      <c r="J41" s="302"/>
    </row>
    <row r="45" customFormat="false" ht="16.5" hidden="false" customHeight="false" outlineLevel="0" collapsed="false">
      <c r="E45" s="303"/>
      <c r="F45" s="1"/>
      <c r="G45" s="1"/>
      <c r="H45" s="1"/>
      <c r="I45" s="1"/>
    </row>
    <row r="46" customFormat="false" ht="12.75" hidden="false" customHeight="false" outlineLevel="0" collapsed="false">
      <c r="E46" s="304" t="s">
        <v>159</v>
      </c>
      <c r="F46" s="304"/>
      <c r="G46" s="304"/>
      <c r="H46" s="304"/>
      <c r="I46" s="304"/>
    </row>
    <row r="47" customFormat="false" ht="12.75" hidden="false" customHeight="false" outlineLevel="0" collapsed="false">
      <c r="E47" s="305" t="s">
        <v>160</v>
      </c>
      <c r="F47" s="305"/>
      <c r="G47" s="305"/>
      <c r="H47" s="305"/>
      <c r="I47" s="305"/>
    </row>
  </sheetData>
  <mergeCells count="70">
    <mergeCell ref="A3:J4"/>
    <mergeCell ref="A6:H6"/>
    <mergeCell ref="I6:J7"/>
    <mergeCell ref="A7:H7"/>
    <mergeCell ref="A9:A11"/>
    <mergeCell ref="B9:B11"/>
    <mergeCell ref="C9:D9"/>
    <mergeCell ref="E9:F9"/>
    <mergeCell ref="G9:H9"/>
    <mergeCell ref="I9:J10"/>
    <mergeCell ref="C10:D10"/>
    <mergeCell ref="E10:F10"/>
    <mergeCell ref="G10:H10"/>
    <mergeCell ref="A12:A13"/>
    <mergeCell ref="B12:B13"/>
    <mergeCell ref="I12:I13"/>
    <mergeCell ref="J12:J13"/>
    <mergeCell ref="A14:A15"/>
    <mergeCell ref="B14:B15"/>
    <mergeCell ref="I14:I15"/>
    <mergeCell ref="J14:J15"/>
    <mergeCell ref="A16:A17"/>
    <mergeCell ref="B16:B17"/>
    <mergeCell ref="I16:I17"/>
    <mergeCell ref="J16:J17"/>
    <mergeCell ref="A18:A19"/>
    <mergeCell ref="B18:B19"/>
    <mergeCell ref="I18:I19"/>
    <mergeCell ref="J18:J19"/>
    <mergeCell ref="A20:A21"/>
    <mergeCell ref="B20:B21"/>
    <mergeCell ref="I20:I21"/>
    <mergeCell ref="J20:J21"/>
    <mergeCell ref="A22:A23"/>
    <mergeCell ref="B22:B23"/>
    <mergeCell ref="I22:I23"/>
    <mergeCell ref="J22:J23"/>
    <mergeCell ref="A24:A25"/>
    <mergeCell ref="B24:B25"/>
    <mergeCell ref="I24:I25"/>
    <mergeCell ref="J24:J25"/>
    <mergeCell ref="A26:A27"/>
    <mergeCell ref="B26:B27"/>
    <mergeCell ref="I26:I27"/>
    <mergeCell ref="J26:J27"/>
    <mergeCell ref="A28:A29"/>
    <mergeCell ref="B28:B29"/>
    <mergeCell ref="I28:I29"/>
    <mergeCell ref="J28:J29"/>
    <mergeCell ref="A30:A31"/>
    <mergeCell ref="B30:B31"/>
    <mergeCell ref="I30:I31"/>
    <mergeCell ref="J30:J31"/>
    <mergeCell ref="A32:A33"/>
    <mergeCell ref="B32:B33"/>
    <mergeCell ref="I32:I33"/>
    <mergeCell ref="J32:J33"/>
    <mergeCell ref="A34:A35"/>
    <mergeCell ref="B34:B35"/>
    <mergeCell ref="I34:I35"/>
    <mergeCell ref="J34:J35"/>
    <mergeCell ref="A36:A37"/>
    <mergeCell ref="B36:B37"/>
    <mergeCell ref="I36:I37"/>
    <mergeCell ref="J36:J37"/>
    <mergeCell ref="A38:B38"/>
    <mergeCell ref="A40:B40"/>
    <mergeCell ref="A41:B41"/>
    <mergeCell ref="E46:I46"/>
    <mergeCell ref="E47:I47"/>
  </mergeCells>
  <printOptions headings="false" gridLines="false" gridLinesSet="true" horizontalCentered="true" verticalCentered="false"/>
  <pageMargins left="0.315277777777778" right="0.315277777777778" top="0.39375" bottom="0.39375" header="0.511811023622047" footer="0.315277777777778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&amp;LCronograma Físico Financeiro&amp;RValores em R$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9"/>
  <sheetViews>
    <sheetView showFormulas="false" showGridLines="true" showRowColHeaders="true" showZeros="true" rightToLeft="false" tabSelected="false" showOutlineSymbols="true" defaultGridColor="true" view="pageBreakPreview" topLeftCell="I1" colorId="64" zoomScale="100" zoomScaleNormal="100" zoomScalePageLayoutView="100" workbookViewId="0">
      <selection pane="topLeft" activeCell="P40" activeCellId="0" sqref="P40"/>
    </sheetView>
  </sheetViews>
  <sheetFormatPr defaultColWidth="8.6875" defaultRowHeight="12.75" zeroHeight="false" outlineLevelRow="0" outlineLevelCol="0"/>
  <cols>
    <col collapsed="false" customWidth="true" hidden="true" outlineLevel="0" max="1" min="1" style="0" width="10.71"/>
    <col collapsed="false" customWidth="true" hidden="true" outlineLevel="0" max="8" min="2" style="0" width="11.52"/>
    <col collapsed="false" customWidth="true" hidden="false" outlineLevel="0" max="18" min="9" style="0" width="10.71"/>
  </cols>
  <sheetData>
    <row r="1" customFormat="false" ht="15" hidden="false" customHeight="false" outlineLevel="0" collapsed="false">
      <c r="A1" s="256"/>
      <c r="B1" s="256"/>
      <c r="C1" s="256"/>
      <c r="D1" s="256"/>
      <c r="E1" s="256" t="s">
        <v>177</v>
      </c>
      <c r="F1" s="256" t="s">
        <v>178</v>
      </c>
      <c r="G1" s="256" t="s">
        <v>179</v>
      </c>
      <c r="H1" s="256"/>
      <c r="I1" s="306"/>
      <c r="J1" s="306"/>
      <c r="K1" s="306"/>
      <c r="L1" s="306"/>
      <c r="M1" s="306"/>
      <c r="N1" s="307"/>
      <c r="O1" s="306"/>
      <c r="P1" s="306"/>
      <c r="Q1" s="308" t="s">
        <v>180</v>
      </c>
      <c r="R1" s="308"/>
    </row>
    <row r="2" customFormat="false" ht="15.75" hidden="false" customHeight="false" outlineLevel="0" collapsed="false">
      <c r="A2" s="256" t="s">
        <v>181</v>
      </c>
      <c r="B2" s="256" t="s">
        <v>182</v>
      </c>
      <c r="C2" s="256" t="str">
        <f aca="false">CONCATENATE(A2,"-",B2)</f>
        <v>Construção e Reforma de Edifícios-AC</v>
      </c>
      <c r="D2" s="256"/>
      <c r="E2" s="256" t="n">
        <v>0.03</v>
      </c>
      <c r="F2" s="256" t="n">
        <v>0.04</v>
      </c>
      <c r="G2" s="256" t="n">
        <v>0.055</v>
      </c>
      <c r="H2" s="256"/>
      <c r="I2" s="306"/>
      <c r="J2" s="306"/>
      <c r="K2" s="306"/>
      <c r="L2" s="306"/>
      <c r="M2" s="306"/>
      <c r="N2" s="309"/>
      <c r="O2" s="306"/>
      <c r="P2" s="306"/>
      <c r="Q2" s="310" t="s">
        <v>183</v>
      </c>
      <c r="R2" s="310"/>
    </row>
    <row r="3" customFormat="false" ht="15" hidden="false" customHeight="false" outlineLevel="0" collapsed="false">
      <c r="A3" s="256" t="str">
        <f aca="false">A2</f>
        <v>Construção e Reforma de Edifícios</v>
      </c>
      <c r="B3" s="256" t="s">
        <v>184</v>
      </c>
      <c r="C3" s="256" t="str">
        <f aca="false">CONCATENATE(A3,"-",B3)</f>
        <v>Construção e Reforma de Edifícios-SG</v>
      </c>
      <c r="D3" s="256"/>
      <c r="E3" s="256" t="n">
        <v>0.008</v>
      </c>
      <c r="F3" s="256" t="n">
        <v>0.008</v>
      </c>
      <c r="G3" s="256" t="n">
        <v>0.01</v>
      </c>
      <c r="H3" s="256"/>
      <c r="I3" s="306"/>
      <c r="J3" s="306"/>
      <c r="K3" s="306"/>
      <c r="L3" s="306"/>
      <c r="M3" s="306"/>
      <c r="N3" s="306"/>
      <c r="O3" s="306"/>
      <c r="P3" s="306"/>
      <c r="Q3" s="306"/>
      <c r="R3" s="306"/>
    </row>
    <row r="4" customFormat="false" ht="15" hidden="false" customHeight="false" outlineLevel="0" collapsed="false">
      <c r="A4" s="256"/>
      <c r="B4" s="256"/>
      <c r="C4" s="256"/>
      <c r="D4" s="256"/>
      <c r="E4" s="256"/>
      <c r="F4" s="256"/>
      <c r="G4" s="256"/>
      <c r="H4" s="256"/>
      <c r="I4" s="306"/>
      <c r="J4" s="306"/>
      <c r="K4" s="306"/>
      <c r="L4" s="306"/>
      <c r="M4" s="306"/>
      <c r="N4" s="306"/>
      <c r="O4" s="306"/>
      <c r="P4" s="306"/>
      <c r="Q4" s="306"/>
      <c r="R4" s="306"/>
    </row>
    <row r="5" customFormat="false" ht="12.75" hidden="false" customHeight="false" outlineLevel="0" collapsed="false">
      <c r="A5" s="256" t="str">
        <f aca="false">A3</f>
        <v>Construção e Reforma de Edifícios</v>
      </c>
      <c r="B5" s="256" t="s">
        <v>185</v>
      </c>
      <c r="C5" s="256" t="str">
        <f aca="false">CONCATENATE(A5,"-",B5)</f>
        <v>Construção e Reforma de Edifícios-R</v>
      </c>
      <c r="D5" s="256"/>
      <c r="E5" s="256" t="n">
        <v>0.0097</v>
      </c>
      <c r="F5" s="256" t="n">
        <v>0.0127</v>
      </c>
      <c r="G5" s="256" t="n">
        <v>0.0127</v>
      </c>
      <c r="H5" s="256"/>
      <c r="I5" s="311" t="s">
        <v>186</v>
      </c>
      <c r="J5" s="311"/>
      <c r="K5" s="311" t="s">
        <v>187</v>
      </c>
      <c r="L5" s="311"/>
      <c r="M5" s="311"/>
      <c r="N5" s="311"/>
      <c r="O5" s="311"/>
      <c r="P5" s="311"/>
      <c r="Q5" s="311"/>
      <c r="R5" s="311"/>
    </row>
    <row r="6" customFormat="false" ht="15" hidden="false" customHeight="false" outlineLevel="0" collapsed="false">
      <c r="A6" s="256" t="str">
        <f aca="false">A5</f>
        <v>Construção e Reforma de Edifícios</v>
      </c>
      <c r="B6" s="256" t="s">
        <v>188</v>
      </c>
      <c r="C6" s="256" t="str">
        <f aca="false">CONCATENATE(A6,"-",B6)</f>
        <v>Construção e Reforma de Edifícios-DF</v>
      </c>
      <c r="D6" s="256"/>
      <c r="E6" s="256" t="n">
        <v>0.0059</v>
      </c>
      <c r="F6" s="256" t="n">
        <v>0.0123</v>
      </c>
      <c r="G6" s="256" t="n">
        <v>0.0139</v>
      </c>
      <c r="H6" s="256"/>
      <c r="I6" s="312"/>
      <c r="J6" s="312"/>
      <c r="K6" s="313" t="s">
        <v>189</v>
      </c>
      <c r="L6" s="313"/>
      <c r="M6" s="313"/>
      <c r="N6" s="313"/>
      <c r="O6" s="313"/>
      <c r="P6" s="313"/>
      <c r="Q6" s="313"/>
      <c r="R6" s="313"/>
    </row>
    <row r="7" customFormat="false" ht="12.75" hidden="false" customHeight="false" outlineLevel="0" collapsed="false">
      <c r="A7" s="256" t="str">
        <f aca="false">A6</f>
        <v>Construção e Reforma de Edifícios</v>
      </c>
      <c r="B7" s="256" t="s">
        <v>190</v>
      </c>
      <c r="C7" s="256" t="str">
        <f aca="false">CONCATENATE(A7,"-",B7)</f>
        <v>Construção e Reforma de Edifícios-L</v>
      </c>
      <c r="D7" s="256"/>
      <c r="E7" s="256" t="n">
        <v>0.0616</v>
      </c>
      <c r="F7" s="256" t="n">
        <v>0.074</v>
      </c>
      <c r="G7" s="256" t="n">
        <v>0.0896</v>
      </c>
      <c r="H7" s="256"/>
      <c r="I7" s="314"/>
      <c r="J7" s="314"/>
      <c r="K7" s="314"/>
      <c r="L7" s="314"/>
      <c r="M7" s="314"/>
      <c r="N7" s="314"/>
      <c r="O7" s="314"/>
      <c r="P7" s="314"/>
      <c r="Q7" s="314"/>
      <c r="R7" s="314"/>
    </row>
    <row r="8" customFormat="false" ht="12.75" hidden="false" customHeight="false" outlineLevel="0" collapsed="false">
      <c r="A8" s="256" t="str">
        <f aca="false">A7</f>
        <v>Construção e Reforma de Edifícios</v>
      </c>
      <c r="B8" s="256" t="s">
        <v>191</v>
      </c>
      <c r="C8" s="256" t="str">
        <f aca="false">CONCATENATE(A8,"-",B8)</f>
        <v>Construção e Reforma de Edifícios-BDI PAD</v>
      </c>
      <c r="D8" s="256"/>
      <c r="E8" s="256" t="n">
        <v>0.2034</v>
      </c>
      <c r="F8" s="256" t="n">
        <v>0.2212</v>
      </c>
      <c r="G8" s="256" t="n">
        <v>0.25</v>
      </c>
      <c r="H8" s="256"/>
      <c r="I8" s="315" t="s">
        <v>192</v>
      </c>
      <c r="J8" s="315"/>
      <c r="K8" s="315"/>
      <c r="L8" s="315"/>
      <c r="M8" s="315"/>
      <c r="N8" s="315"/>
      <c r="O8" s="315"/>
      <c r="P8" s="315"/>
      <c r="Q8" s="315"/>
      <c r="R8" s="315"/>
    </row>
    <row r="9" customFormat="false" ht="15" hidden="false" customHeight="false" outlineLevel="0" collapsed="false">
      <c r="A9" s="256" t="s">
        <v>193</v>
      </c>
      <c r="B9" s="256" t="s">
        <v>182</v>
      </c>
      <c r="C9" s="256" t="str">
        <f aca="false">CONCATENATE(A9,"-",B9)</f>
        <v>Construção de Praças Urbanas, Rodovias, Ferrovias e recapeamento e pavimentação de vias urbanas-AC</v>
      </c>
      <c r="D9" s="256"/>
      <c r="E9" s="256" t="n">
        <v>0.038</v>
      </c>
      <c r="F9" s="256" t="n">
        <v>0.0401</v>
      </c>
      <c r="G9" s="256" t="n">
        <v>0.0467</v>
      </c>
      <c r="H9" s="256"/>
      <c r="I9" s="316" t="s">
        <v>194</v>
      </c>
      <c r="J9" s="316"/>
      <c r="K9" s="316"/>
      <c r="L9" s="316"/>
      <c r="M9" s="316"/>
      <c r="N9" s="316"/>
      <c r="O9" s="316"/>
      <c r="P9" s="316"/>
      <c r="Q9" s="316"/>
      <c r="R9" s="316"/>
    </row>
    <row r="10" customFormat="false" ht="12.75" hidden="false" customHeight="false" outlineLevel="0" collapsed="false">
      <c r="A10" s="256" t="s">
        <v>193</v>
      </c>
      <c r="B10" s="256" t="s">
        <v>184</v>
      </c>
      <c r="C10" s="256" t="str">
        <f aca="false">CONCATENATE(A10,"-",B10)</f>
        <v>Construção de Praças Urbanas, Rodovias, Ferrovias e recapeamento e pavimentação de vias urbanas-SG</v>
      </c>
      <c r="D10" s="256"/>
      <c r="E10" s="256" t="n">
        <v>0.0032</v>
      </c>
      <c r="F10" s="256" t="n">
        <v>0.004</v>
      </c>
      <c r="G10" s="256" t="n">
        <v>0.0074</v>
      </c>
      <c r="H10" s="256"/>
      <c r="I10" s="314"/>
      <c r="J10" s="314"/>
      <c r="K10" s="314"/>
      <c r="L10" s="314"/>
      <c r="M10" s="314"/>
      <c r="N10" s="314"/>
      <c r="O10" s="314"/>
      <c r="P10" s="314"/>
      <c r="Q10" s="314"/>
      <c r="R10" s="314"/>
    </row>
    <row r="11" customFormat="false" ht="12.75" hidden="false" customHeight="false" outlineLevel="0" collapsed="false">
      <c r="A11" s="256" t="s">
        <v>193</v>
      </c>
      <c r="B11" s="256" t="s">
        <v>185</v>
      </c>
      <c r="C11" s="256" t="str">
        <f aca="false">CONCATENATE(A11,"-",B11)</f>
        <v>Construção de Praças Urbanas, Rodovias, Ferrovias e recapeamento e pavimentação de vias urbanas-R</v>
      </c>
      <c r="D11" s="256"/>
      <c r="E11" s="256" t="n">
        <v>0.005</v>
      </c>
      <c r="F11" s="256" t="n">
        <v>0.0056</v>
      </c>
      <c r="G11" s="256" t="n">
        <v>0.0097</v>
      </c>
      <c r="H11" s="256"/>
      <c r="I11" s="315" t="s">
        <v>195</v>
      </c>
      <c r="J11" s="315"/>
      <c r="K11" s="315"/>
      <c r="L11" s="315"/>
      <c r="M11" s="315"/>
      <c r="N11" s="315"/>
      <c r="O11" s="315"/>
      <c r="P11" s="315"/>
      <c r="Q11" s="315" t="s">
        <v>196</v>
      </c>
      <c r="R11" s="315"/>
    </row>
    <row r="12" customFormat="false" ht="15" hidden="false" customHeight="true" outlineLevel="0" collapsed="false">
      <c r="A12" s="256" t="s">
        <v>193</v>
      </c>
      <c r="B12" s="256" t="s">
        <v>188</v>
      </c>
      <c r="C12" s="256" t="str">
        <f aca="false">CONCATENATE(A12,"-",B12)</f>
        <v>Construção de Praças Urbanas, Rodovias, Ferrovias e recapeamento e pavimentação de vias urbanas-DF</v>
      </c>
      <c r="D12" s="256"/>
      <c r="E12" s="256" t="n">
        <v>0.0102</v>
      </c>
      <c r="F12" s="256" t="n">
        <v>0.0111</v>
      </c>
      <c r="G12" s="256" t="n">
        <v>0.0121</v>
      </c>
      <c r="H12" s="256"/>
      <c r="I12" s="317" t="s">
        <v>181</v>
      </c>
      <c r="J12" s="317"/>
      <c r="K12" s="317"/>
      <c r="L12" s="317"/>
      <c r="M12" s="317"/>
      <c r="N12" s="317"/>
      <c r="O12" s="317"/>
      <c r="P12" s="317"/>
      <c r="Q12" s="318" t="s">
        <v>197</v>
      </c>
      <c r="R12" s="318"/>
    </row>
    <row r="13" customFormat="false" ht="15" hidden="false" customHeight="false" outlineLevel="0" collapsed="false">
      <c r="A13" s="256" t="s">
        <v>193</v>
      </c>
      <c r="B13" s="256" t="s">
        <v>190</v>
      </c>
      <c r="C13" s="256" t="str">
        <f aca="false">CONCATENATE(A13,"-",B13)</f>
        <v>Construção de Praças Urbanas, Rodovias, Ferrovias e recapeamento e pavimentação de vias urbanas-L</v>
      </c>
      <c r="D13" s="256"/>
      <c r="E13" s="256" t="n">
        <v>0.0664</v>
      </c>
      <c r="F13" s="256" t="n">
        <v>0.073</v>
      </c>
      <c r="G13" s="256" t="n">
        <v>0.0869</v>
      </c>
      <c r="H13" s="256"/>
      <c r="I13" s="306"/>
      <c r="J13" s="306"/>
      <c r="K13" s="306"/>
      <c r="L13" s="306"/>
      <c r="M13" s="306"/>
      <c r="N13" s="306"/>
      <c r="O13" s="306"/>
      <c r="P13" s="306"/>
      <c r="Q13" s="306"/>
      <c r="R13" s="306"/>
    </row>
    <row r="14" customFormat="false" ht="12.75" hidden="false" customHeight="true" outlineLevel="0" collapsed="false">
      <c r="A14" s="256" t="s">
        <v>193</v>
      </c>
      <c r="B14" s="256" t="s">
        <v>191</v>
      </c>
      <c r="C14" s="256" t="str">
        <f aca="false">CONCATENATE(A14,"-",B14)</f>
        <v>Construção de Praças Urbanas, Rodovias, Ferrovias e recapeamento e pavimentação de vias urbanas-BDI PAD</v>
      </c>
      <c r="D14" s="256"/>
      <c r="E14" s="256" t="n">
        <v>0.196</v>
      </c>
      <c r="F14" s="256" t="n">
        <v>0.2097</v>
      </c>
      <c r="G14" s="256" t="n">
        <v>0.2423</v>
      </c>
      <c r="H14" s="256"/>
      <c r="I14" s="319" t="s">
        <v>198</v>
      </c>
      <c r="J14" s="319"/>
      <c r="K14" s="319"/>
      <c r="L14" s="319"/>
      <c r="M14" s="319"/>
      <c r="N14" s="319"/>
      <c r="O14" s="319"/>
      <c r="P14" s="319"/>
      <c r="Q14" s="320" t="n">
        <v>0.6</v>
      </c>
      <c r="R14" s="320"/>
    </row>
    <row r="15" customFormat="false" ht="12.75" hidden="false" customHeight="false" outlineLevel="0" collapsed="false">
      <c r="A15" s="256" t="s">
        <v>199</v>
      </c>
      <c r="B15" s="256" t="s">
        <v>182</v>
      </c>
      <c r="C15" s="256" t="str">
        <f aca="false">CONCATENATE(A15,"-",B15)</f>
        <v>Construção de Redes de Abastecimento de Água, Coleta de Esgoto-AC</v>
      </c>
      <c r="D15" s="256"/>
      <c r="E15" s="256" t="n">
        <v>0.0343</v>
      </c>
      <c r="F15" s="256" t="n">
        <v>0.0493</v>
      </c>
      <c r="G15" s="256" t="n">
        <v>0.0671</v>
      </c>
      <c r="H15" s="256"/>
      <c r="I15" s="321" t="s">
        <v>200</v>
      </c>
      <c r="J15" s="321"/>
      <c r="K15" s="321"/>
      <c r="L15" s="321"/>
      <c r="M15" s="321"/>
      <c r="N15" s="321"/>
      <c r="O15" s="321"/>
      <c r="P15" s="321"/>
      <c r="Q15" s="320" t="n">
        <v>0.03</v>
      </c>
      <c r="R15" s="320"/>
    </row>
    <row r="16" customFormat="false" ht="15" hidden="false" customHeight="false" outlineLevel="0" collapsed="false">
      <c r="A16" s="256" t="str">
        <f aca="false">A15</f>
        <v>Construção de Redes de Abastecimento de Água, Coleta de Esgoto</v>
      </c>
      <c r="B16" s="256" t="s">
        <v>184</v>
      </c>
      <c r="C16" s="256" t="str">
        <f aca="false">CONCATENATE(A16,"-",B16)</f>
        <v>Construção de Redes de Abastecimento de Água, Coleta de Esgoto-SG</v>
      </c>
      <c r="D16" s="256"/>
      <c r="E16" s="256" t="n">
        <v>0.0028</v>
      </c>
      <c r="F16" s="256" t="n">
        <v>0.0049</v>
      </c>
      <c r="G16" s="256" t="n">
        <v>0.0075</v>
      </c>
      <c r="H16" s="256"/>
      <c r="I16" s="306"/>
      <c r="J16" s="306"/>
      <c r="K16" s="306"/>
      <c r="L16" s="306"/>
      <c r="M16" s="306"/>
      <c r="N16" s="306"/>
      <c r="O16" s="306"/>
      <c r="P16" s="306"/>
      <c r="Q16" s="306"/>
      <c r="R16" s="306"/>
    </row>
    <row r="17" customFormat="false" ht="15" hidden="false" customHeight="true" outlineLevel="0" collapsed="false">
      <c r="A17" s="256"/>
      <c r="B17" s="256"/>
      <c r="C17" s="256"/>
      <c r="D17" s="256"/>
      <c r="E17" s="256"/>
      <c r="F17" s="256"/>
      <c r="G17" s="256"/>
      <c r="H17" s="256"/>
      <c r="I17" s="322" t="s">
        <v>201</v>
      </c>
      <c r="J17" s="322"/>
      <c r="K17" s="322"/>
      <c r="L17" s="322"/>
      <c r="M17" s="322" t="s">
        <v>202</v>
      </c>
      <c r="N17" s="323" t="s">
        <v>203</v>
      </c>
      <c r="O17" s="323" t="s">
        <v>204</v>
      </c>
      <c r="P17" s="324" t="s">
        <v>205</v>
      </c>
      <c r="Q17" s="324"/>
      <c r="R17" s="324"/>
    </row>
    <row r="18" customFormat="false" ht="15" hidden="false" customHeight="false" outlineLevel="0" collapsed="false">
      <c r="A18" s="256" t="str">
        <f aca="false">A16</f>
        <v>Construção de Redes de Abastecimento de Água, Coleta de Esgoto</v>
      </c>
      <c r="B18" s="256" t="s">
        <v>185</v>
      </c>
      <c r="C18" s="256" t="str">
        <f aca="false">CONCATENATE(A18,"-",B18)</f>
        <v>Construção de Redes de Abastecimento de Água, Coleta de Esgoto-R</v>
      </c>
      <c r="D18" s="256"/>
      <c r="E18" s="256" t="n">
        <v>0.01</v>
      </c>
      <c r="F18" s="256" t="n">
        <v>0.0139</v>
      </c>
      <c r="G18" s="256" t="n">
        <v>0.0174</v>
      </c>
      <c r="H18" s="256"/>
      <c r="I18" s="322"/>
      <c r="J18" s="322"/>
      <c r="K18" s="322"/>
      <c r="L18" s="322"/>
      <c r="M18" s="322"/>
      <c r="N18" s="323"/>
      <c r="O18" s="323"/>
      <c r="P18" s="322" t="s">
        <v>206</v>
      </c>
      <c r="Q18" s="322" t="s">
        <v>207</v>
      </c>
      <c r="R18" s="325" t="s">
        <v>208</v>
      </c>
    </row>
    <row r="19" customFormat="false" ht="30" hidden="false" customHeight="true" outlineLevel="0" collapsed="false">
      <c r="A19" s="256" t="str">
        <f aca="false">A18</f>
        <v>Construção de Redes de Abastecimento de Água, Coleta de Esgoto</v>
      </c>
      <c r="B19" s="256" t="s">
        <v>188</v>
      </c>
      <c r="C19" s="256" t="str">
        <f aca="false">CONCATENATE(A19,"-",B19)</f>
        <v>Construção de Redes de Abastecimento de Água, Coleta de Esgoto-DF</v>
      </c>
      <c r="D19" s="256"/>
      <c r="E19" s="256" t="n">
        <v>0.0094</v>
      </c>
      <c r="F19" s="256" t="n">
        <v>0.0099</v>
      </c>
      <c r="G19" s="256" t="n">
        <v>0.0117</v>
      </c>
      <c r="H19" s="256"/>
      <c r="I19" s="326" t="str">
        <f aca="false">IF($I$12=$A$59,"Encargos Sociais incidentes sobre a mão de obra","Administração Central")</f>
        <v>Administração Central</v>
      </c>
      <c r="J19" s="326"/>
      <c r="K19" s="326"/>
      <c r="L19" s="326"/>
      <c r="M19" s="327" t="str">
        <f aca="false">IF($I$12=$A$59,"K1","AC")</f>
        <v>AC</v>
      </c>
      <c r="N19" s="328" t="n">
        <v>0.04</v>
      </c>
      <c r="O19" s="329" t="s">
        <v>209</v>
      </c>
      <c r="P19" s="330" t="n">
        <f aca="false">VLOOKUP(CONCATENATE(I$12,"-",M19),$C$2:$G$50,3,FALSE())</f>
        <v>0.03</v>
      </c>
      <c r="Q19" s="330" t="n">
        <f aca="false">VLOOKUP(CONCATENATE(I$12,"-",M19),$C$2:$G$50,4,FALSE())</f>
        <v>0.04</v>
      </c>
      <c r="R19" s="330" t="n">
        <f aca="false">VLOOKUP(CONCATENATE(I$12,"-",M19),$C$2:$G$50,5,FALSE())</f>
        <v>0.055</v>
      </c>
    </row>
    <row r="20" customFormat="false" ht="30" hidden="false" customHeight="true" outlineLevel="0" collapsed="false">
      <c r="A20" s="256" t="str">
        <f aca="false">A19</f>
        <v>Construção de Redes de Abastecimento de Água, Coleta de Esgoto</v>
      </c>
      <c r="B20" s="256" t="s">
        <v>190</v>
      </c>
      <c r="C20" s="256" t="str">
        <f aca="false">CONCATENATE(A20,"-",B20)</f>
        <v>Construção de Redes de Abastecimento de Água, Coleta de Esgoto-L</v>
      </c>
      <c r="D20" s="256"/>
      <c r="E20" s="256" t="n">
        <v>0.0674</v>
      </c>
      <c r="F20" s="256" t="n">
        <v>0.0804</v>
      </c>
      <c r="G20" s="256" t="n">
        <v>0.094</v>
      </c>
      <c r="H20" s="256"/>
      <c r="I20" s="326" t="str">
        <f aca="false">IF($I$12=$A$59,"Administração Central da empresa ou consultoria - overhead","Seguro e Garantia")</f>
        <v>Seguro e Garantia</v>
      </c>
      <c r="J20" s="326"/>
      <c r="K20" s="326"/>
      <c r="L20" s="326"/>
      <c r="M20" s="327" t="str">
        <f aca="false">IF($I$12=$A$59,"K2","SG")</f>
        <v>SG</v>
      </c>
      <c r="N20" s="328" t="n">
        <v>0.008</v>
      </c>
      <c r="O20" s="329" t="s">
        <v>209</v>
      </c>
      <c r="P20" s="330" t="n">
        <f aca="false">VLOOKUP(CONCATENATE(I$12,"-",M20),$C$2:$G$50,3,FALSE())</f>
        <v>0.008</v>
      </c>
      <c r="Q20" s="330" t="n">
        <f aca="false">VLOOKUP(CONCATENATE(I$12,"-",M20),$C$2:$G$50,4,FALSE())</f>
        <v>0.008</v>
      </c>
      <c r="R20" s="330" t="n">
        <f aca="false">VLOOKUP(CONCATENATE(I$12,"-",M20),$C$2:$G$50,5,FALSE())</f>
        <v>0.01</v>
      </c>
    </row>
    <row r="21" customFormat="false" ht="30" hidden="false" customHeight="true" outlineLevel="0" collapsed="false">
      <c r="A21" s="256" t="str">
        <f aca="false">A20</f>
        <v>Construção de Redes de Abastecimento de Água, Coleta de Esgoto</v>
      </c>
      <c r="B21" s="256" t="s">
        <v>191</v>
      </c>
      <c r="C21" s="256" t="str">
        <f aca="false">CONCATENATE(A21,"-",B21)</f>
        <v>Construção de Redes de Abastecimento de Água, Coleta de Esgoto-BDI PAD</v>
      </c>
      <c r="D21" s="256"/>
      <c r="E21" s="256" t="n">
        <v>0.2076</v>
      </c>
      <c r="F21" s="256" t="n">
        <v>0.2418</v>
      </c>
      <c r="G21" s="256" t="n">
        <v>0.2644</v>
      </c>
      <c r="H21" s="256"/>
      <c r="I21" s="326" t="str">
        <f aca="false">IF($I$12=$A$59,"","Risco")</f>
        <v>Risco</v>
      </c>
      <c r="J21" s="326"/>
      <c r="K21" s="326"/>
      <c r="L21" s="326"/>
      <c r="M21" s="327" t="str">
        <f aca="false">IF($I$12=$A$59,"","R")</f>
        <v>R</v>
      </c>
      <c r="N21" s="328" t="n">
        <v>0.0127</v>
      </c>
      <c r="O21" s="329" t="s">
        <v>209</v>
      </c>
      <c r="P21" s="330" t="n">
        <f aca="false">VLOOKUP(CONCATENATE(I$12,"-",M21),$C$2:$G$50,3,FALSE())</f>
        <v>0.0097</v>
      </c>
      <c r="Q21" s="330" t="n">
        <f aca="false">VLOOKUP(CONCATENATE(I$12,"-",M21),$C$2:$G$50,4,FALSE())</f>
        <v>0.0127</v>
      </c>
      <c r="R21" s="330" t="n">
        <f aca="false">VLOOKUP(CONCATENATE(I$12,"-",M21),$C$2:$G$50,5,FALSE())</f>
        <v>0.0127</v>
      </c>
    </row>
    <row r="22" customFormat="false" ht="30" hidden="false" customHeight="true" outlineLevel="0" collapsed="false">
      <c r="A22" s="256" t="s">
        <v>210</v>
      </c>
      <c r="B22" s="256" t="s">
        <v>182</v>
      </c>
      <c r="C22" s="256" t="str">
        <f aca="false">CONCATENATE(A22,"-",B22)</f>
        <v>Construção e Manutenção de Estações e Redes de Distribuição de Energia Elétrica-AC</v>
      </c>
      <c r="D22" s="256"/>
      <c r="E22" s="256" t="n">
        <v>0.0529</v>
      </c>
      <c r="F22" s="256" t="n">
        <v>0.0592</v>
      </c>
      <c r="G22" s="256" t="n">
        <v>0.0793</v>
      </c>
      <c r="H22" s="256"/>
      <c r="I22" s="326" t="str">
        <f aca="false">IF($I$12=$A$59,"","Despesas Financeiras")</f>
        <v>Despesas Financeiras</v>
      </c>
      <c r="J22" s="326"/>
      <c r="K22" s="326"/>
      <c r="L22" s="326"/>
      <c r="M22" s="327" t="str">
        <f aca="false">IF($I$12=$A$59,"","DF")</f>
        <v>DF</v>
      </c>
      <c r="N22" s="328" t="n">
        <v>0.0123</v>
      </c>
      <c r="O22" s="329" t="s">
        <v>209</v>
      </c>
      <c r="P22" s="330" t="n">
        <f aca="false">VLOOKUP(CONCATENATE(I$12,"-",M22),$C$2:$G$50,3,FALSE())</f>
        <v>0.0059</v>
      </c>
      <c r="Q22" s="330" t="n">
        <f aca="false">VLOOKUP(CONCATENATE(I$12,"-",M22),$C$2:$G$50,4,FALSE())</f>
        <v>0.0123</v>
      </c>
      <c r="R22" s="330" t="n">
        <f aca="false">VLOOKUP(CONCATENATE(I$12,"-",M22),$C$2:$G$50,5,FALSE())</f>
        <v>0.0139</v>
      </c>
    </row>
    <row r="23" customFormat="false" ht="30" hidden="false" customHeight="true" outlineLevel="0" collapsed="false">
      <c r="A23" s="256" t="str">
        <f aca="false">A22</f>
        <v>Construção e Manutenção de Estações e Redes de Distribuição de Energia Elétrica</v>
      </c>
      <c r="B23" s="256" t="s">
        <v>184</v>
      </c>
      <c r="C23" s="256" t="str">
        <f aca="false">CONCATENATE(A23,"-",B23)</f>
        <v>Construção e Manutenção de Estações e Redes de Distribuição de Energia Elétrica-SG</v>
      </c>
      <c r="D23" s="256"/>
      <c r="E23" s="256" t="n">
        <v>0.0025</v>
      </c>
      <c r="F23" s="256" t="n">
        <v>0.0051</v>
      </c>
      <c r="G23" s="256" t="n">
        <v>0.0056</v>
      </c>
      <c r="H23" s="256"/>
      <c r="I23" s="326" t="str">
        <f aca="false">IF($I$12=$A$59,"Margem bruta da empresa de consultoria","Lucro")</f>
        <v>Lucro</v>
      </c>
      <c r="J23" s="326"/>
      <c r="K23" s="326"/>
      <c r="L23" s="326"/>
      <c r="M23" s="327" t="str">
        <f aca="false">IF($I$12=$A$59,"K3","L")</f>
        <v>L</v>
      </c>
      <c r="N23" s="328" t="n">
        <v>0.074</v>
      </c>
      <c r="O23" s="329" t="s">
        <v>209</v>
      </c>
      <c r="P23" s="330" t="n">
        <f aca="false">VLOOKUP(CONCATENATE(I$12,"-",M23),$C$2:$G$50,3,FALSE())</f>
        <v>0.0616</v>
      </c>
      <c r="Q23" s="330" t="n">
        <f aca="false">VLOOKUP(CONCATENATE(I$12,"-",M23),$C$2:$G$50,4,FALSE())</f>
        <v>0.074</v>
      </c>
      <c r="R23" s="330" t="n">
        <f aca="false">VLOOKUP(CONCATENATE(I$12,"-",M23),$C$2:$G$50,5,FALSE())</f>
        <v>0.0896</v>
      </c>
    </row>
    <row r="24" customFormat="false" ht="30" hidden="false" customHeight="true" outlineLevel="0" collapsed="false">
      <c r="A24" s="256" t="str">
        <f aca="false">A23</f>
        <v>Construção e Manutenção de Estações e Redes de Distribuição de Energia Elétrica</v>
      </c>
      <c r="B24" s="256" t="s">
        <v>185</v>
      </c>
      <c r="C24" s="256" t="str">
        <f aca="false">CONCATENATE(A24,"-",B24)</f>
        <v>Construção e Manutenção de Estações e Redes de Distribuição de Energia Elétrica-R</v>
      </c>
      <c r="D24" s="256"/>
      <c r="E24" s="256" t="n">
        <v>0.01</v>
      </c>
      <c r="F24" s="256" t="n">
        <v>0.0148</v>
      </c>
      <c r="G24" s="256" t="n">
        <v>0.0197</v>
      </c>
      <c r="H24" s="256"/>
      <c r="I24" s="331" t="s">
        <v>211</v>
      </c>
      <c r="J24" s="331"/>
      <c r="K24" s="331"/>
      <c r="L24" s="331"/>
      <c r="M24" s="327" t="s">
        <v>212</v>
      </c>
      <c r="N24" s="328" t="n">
        <v>0.0365</v>
      </c>
      <c r="O24" s="329" t="s">
        <v>209</v>
      </c>
      <c r="P24" s="330" t="n">
        <v>0.0365</v>
      </c>
      <c r="Q24" s="330" t="n">
        <v>0.0365</v>
      </c>
      <c r="R24" s="330" t="n">
        <v>0.0365</v>
      </c>
    </row>
    <row r="25" customFormat="false" ht="30" hidden="false" customHeight="true" outlineLevel="0" collapsed="false">
      <c r="A25" s="256" t="str">
        <f aca="false">A24</f>
        <v>Construção e Manutenção de Estações e Redes de Distribuição de Energia Elétrica</v>
      </c>
      <c r="B25" s="256" t="s">
        <v>188</v>
      </c>
      <c r="C25" s="256" t="str">
        <f aca="false">CONCATENATE(A25,"-",B25)</f>
        <v>Construção e Manutenção de Estações e Redes de Distribuição de Energia Elétrica-DF</v>
      </c>
      <c r="D25" s="256"/>
      <c r="E25" s="256" t="n">
        <v>0.0101</v>
      </c>
      <c r="F25" s="256" t="n">
        <v>0.0107</v>
      </c>
      <c r="G25" s="256" t="n">
        <v>0.0111</v>
      </c>
      <c r="H25" s="256"/>
      <c r="I25" s="326" t="s">
        <v>213</v>
      </c>
      <c r="J25" s="326"/>
      <c r="K25" s="326"/>
      <c r="L25" s="326"/>
      <c r="M25" s="327" t="s">
        <v>214</v>
      </c>
      <c r="N25" s="330" t="n">
        <f aca="false">IF(I12&lt;&gt;A58,Q15*Q14,0)</f>
        <v>0.018</v>
      </c>
      <c r="O25" s="329" t="s">
        <v>209</v>
      </c>
      <c r="P25" s="330" t="n">
        <v>0</v>
      </c>
      <c r="Q25" s="330" t="n">
        <v>0.025</v>
      </c>
      <c r="R25" s="330" t="n">
        <v>0.05</v>
      </c>
    </row>
    <row r="26" customFormat="false" ht="30" hidden="false" customHeight="true" outlineLevel="0" collapsed="false">
      <c r="A26" s="256" t="str">
        <f aca="false">A25</f>
        <v>Construção e Manutenção de Estações e Redes de Distribuição de Energia Elétrica</v>
      </c>
      <c r="B26" s="256" t="s">
        <v>190</v>
      </c>
      <c r="C26" s="256" t="str">
        <f aca="false">CONCATENATE(A26,"-",B26)</f>
        <v>Construção e Manutenção de Estações e Redes de Distribuição de Energia Elétrica-L</v>
      </c>
      <c r="D26" s="256"/>
      <c r="E26" s="256" t="n">
        <v>0.08</v>
      </c>
      <c r="F26" s="256" t="n">
        <v>0.0831</v>
      </c>
      <c r="G26" s="256" t="n">
        <v>0.0951</v>
      </c>
      <c r="H26" s="256"/>
      <c r="I26" s="326" t="s">
        <v>215</v>
      </c>
      <c r="J26" s="326"/>
      <c r="K26" s="326"/>
      <c r="L26" s="326"/>
      <c r="M26" s="327" t="s">
        <v>216</v>
      </c>
      <c r="N26" s="330" t="n">
        <f aca="false">IF(Q12="Sim",4.5%,0%)</f>
        <v>0</v>
      </c>
      <c r="O26" s="329" t="str">
        <f aca="false">IF(AND(N26&gt;=P26,N26&lt;=R26),"OK","Não OK")</f>
        <v>OK</v>
      </c>
      <c r="P26" s="332" t="n">
        <v>0</v>
      </c>
      <c r="Q26" s="332" t="n">
        <v>0.045</v>
      </c>
      <c r="R26" s="332" t="n">
        <v>0.045</v>
      </c>
    </row>
    <row r="27" customFormat="false" ht="15" hidden="false" customHeight="true" outlineLevel="0" collapsed="false">
      <c r="A27" s="256" t="str">
        <f aca="false">A26</f>
        <v>Construção e Manutenção de Estações e Redes de Distribuição de Energia Elétrica</v>
      </c>
      <c r="B27" s="256" t="s">
        <v>191</v>
      </c>
      <c r="C27" s="256" t="str">
        <f aca="false">CONCATENATE(A27,"-",B27)</f>
        <v>Construção e Manutenção de Estações e Redes de Distribuição de Energia Elétrica-BDI PAD</v>
      </c>
      <c r="D27" s="256"/>
      <c r="E27" s="256" t="n">
        <v>0.24</v>
      </c>
      <c r="F27" s="256" t="n">
        <v>0.2584</v>
      </c>
      <c r="G27" s="256" t="n">
        <v>0.2786</v>
      </c>
      <c r="H27" s="256"/>
      <c r="I27" s="333" t="s">
        <v>217</v>
      </c>
      <c r="J27" s="333"/>
      <c r="K27" s="333"/>
      <c r="L27" s="333"/>
      <c r="M27" s="334" t="s">
        <v>191</v>
      </c>
      <c r="N27" s="335" t="n">
        <f aca="false">ROUND((((1+N19+N20+N21)*(1+N22)*(1+N23)/(1-(N24+N25)))-1),4)</f>
        <v>0.2197</v>
      </c>
      <c r="O27" s="329" t="str">
        <f aca="false">IF(OR($I$12=$A$59,AND(N27&gt;=P27,N27&lt;=R27)),"OK","NÃO OK")</f>
        <v>OK</v>
      </c>
      <c r="P27" s="330" t="n">
        <f aca="false">VLOOKUP(CONCATENATE($I$12,"-",$M27),$C$2:$G$50,3,FALSE())</f>
        <v>0.2034</v>
      </c>
      <c r="Q27" s="330" t="n">
        <f aca="false">VLOOKUP(CONCATENATE($I$12,"-",$M27),$C$2:$G$50,4,FALSE())</f>
        <v>0.2212</v>
      </c>
      <c r="R27" s="330" t="n">
        <f aca="false">VLOOKUP(CONCATENATE($I$12,"-",$M27),$C$2:$G$50,5,FALSE())</f>
        <v>0.25</v>
      </c>
    </row>
    <row r="28" customFormat="false" ht="15" hidden="false" customHeight="true" outlineLevel="0" collapsed="false">
      <c r="A28" s="256" t="s">
        <v>218</v>
      </c>
      <c r="B28" s="256" t="s">
        <v>182</v>
      </c>
      <c r="C28" s="256" t="str">
        <f aca="false">CONCATENATE(A28,"-",B28)</f>
        <v>Obras Portuárias, Marítimas e Fluviais-AC</v>
      </c>
      <c r="D28" s="256"/>
      <c r="E28" s="256" t="n">
        <v>0.04</v>
      </c>
      <c r="F28" s="256" t="n">
        <v>0.0552</v>
      </c>
      <c r="G28" s="256" t="n">
        <v>0.0785</v>
      </c>
      <c r="H28" s="256"/>
      <c r="I28" s="336" t="s">
        <v>219</v>
      </c>
      <c r="J28" s="336"/>
      <c r="K28" s="336"/>
      <c r="L28" s="336"/>
      <c r="M28" s="337" t="s">
        <v>220</v>
      </c>
      <c r="N28" s="338" t="n">
        <f aca="false">ROUND((((1+N19+N20+N21)*(1+N22)*(1+N23)/(1-(N24+N25+N26)))-1),4)</f>
        <v>0.2197</v>
      </c>
      <c r="O28" s="339" t="str">
        <f aca="false">IF(Q12&lt;&gt;"Sim","",IF(COUNTIF($O$19:$O$27,"NÃO OK")&gt;0,"NÃO OK","OK"))</f>
        <v/>
      </c>
      <c r="P28" s="340"/>
      <c r="Q28" s="340"/>
      <c r="R28" s="340"/>
    </row>
    <row r="29" customFormat="false" ht="15" hidden="false" customHeight="false" outlineLevel="0" collapsed="false">
      <c r="A29" s="256" t="str">
        <f aca="false">A28</f>
        <v>Obras Portuárias, Marítimas e Fluviais</v>
      </c>
      <c r="B29" s="256" t="s">
        <v>184</v>
      </c>
      <c r="C29" s="256" t="str">
        <f aca="false">CONCATENATE(A29,"-",B29)</f>
        <v>Obras Portuárias, Marítimas e Fluviais-SG</v>
      </c>
      <c r="D29" s="256"/>
      <c r="E29" s="256" t="n">
        <v>0.0081</v>
      </c>
      <c r="F29" s="256" t="n">
        <v>0.0122</v>
      </c>
      <c r="G29" s="256" t="n">
        <v>0.0199</v>
      </c>
      <c r="H29" s="256"/>
      <c r="I29" s="306"/>
      <c r="J29" s="306"/>
      <c r="K29" s="306"/>
      <c r="L29" s="306"/>
      <c r="M29" s="306"/>
      <c r="N29" s="306"/>
      <c r="O29" s="306"/>
      <c r="P29" s="306"/>
      <c r="Q29" s="306"/>
      <c r="R29" s="306"/>
    </row>
    <row r="30" customFormat="false" ht="15" hidden="false" customHeight="false" outlineLevel="0" collapsed="false">
      <c r="A30" s="256" t="str">
        <f aca="false">A29</f>
        <v>Obras Portuárias, Marítimas e Fluviais</v>
      </c>
      <c r="B30" s="256" t="s">
        <v>185</v>
      </c>
      <c r="C30" s="256" t="str">
        <f aca="false">CONCATENATE(A30,"-",B30)</f>
        <v>Obras Portuárias, Marítimas e Fluviais-R</v>
      </c>
      <c r="D30" s="256"/>
      <c r="E30" s="256" t="n">
        <v>0.0146</v>
      </c>
      <c r="F30" s="256" t="n">
        <v>0.0232</v>
      </c>
      <c r="G30" s="256" t="n">
        <v>0.0316</v>
      </c>
      <c r="H30" s="256"/>
      <c r="I30" s="341" t="s">
        <v>221</v>
      </c>
      <c r="J30" s="341"/>
      <c r="K30" s="341"/>
      <c r="L30" s="341"/>
      <c r="M30" s="341"/>
      <c r="N30" s="341"/>
      <c r="O30" s="341"/>
      <c r="P30" s="341"/>
      <c r="Q30" s="341"/>
      <c r="R30" s="341"/>
    </row>
    <row r="31" customFormat="false" ht="15.75" hidden="false" customHeight="false" outlineLevel="0" collapsed="false">
      <c r="A31" s="256"/>
      <c r="B31" s="256"/>
      <c r="C31" s="256"/>
      <c r="D31" s="256"/>
      <c r="E31" s="256"/>
      <c r="F31" s="256"/>
      <c r="G31" s="256"/>
      <c r="H31" s="256"/>
      <c r="I31" s="342"/>
      <c r="J31" s="342"/>
      <c r="K31" s="342"/>
      <c r="L31" s="343" t="str">
        <f aca="false">IF(Q12="Sim","BDI.DES =","BDI.PAD =")</f>
        <v>BDI.PAD =</v>
      </c>
      <c r="M31" s="344" t="str">
        <f aca="false">IF($I$12=$A$59,"(1+K1+K2)*(1+K3)","(1+AC + S + R + G)*(1 + DF)*(1+L)")</f>
        <v>(1+AC + S + R + G)*(1 + DF)*(1+L)</v>
      </c>
      <c r="N31" s="344"/>
      <c r="O31" s="344"/>
      <c r="P31" s="345" t="s">
        <v>222</v>
      </c>
      <c r="Q31" s="342"/>
      <c r="R31" s="342"/>
    </row>
    <row r="32" customFormat="false" ht="15.75" hidden="false" customHeight="false" outlineLevel="0" collapsed="false">
      <c r="A32" s="256"/>
      <c r="B32" s="256"/>
      <c r="C32" s="256"/>
      <c r="D32" s="256"/>
      <c r="E32" s="256"/>
      <c r="F32" s="256"/>
      <c r="G32" s="256"/>
      <c r="H32" s="256"/>
      <c r="I32" s="342"/>
      <c r="J32" s="342"/>
      <c r="K32" s="342"/>
      <c r="L32" s="343"/>
      <c r="M32" s="346" t="str">
        <f aca="false">IF(Q12="Sim","(1-CP-ISS-CRPB)","(1-CP-ISS)")</f>
        <v>(1-CP-ISS)</v>
      </c>
      <c r="N32" s="346"/>
      <c r="O32" s="346"/>
      <c r="P32" s="345"/>
      <c r="Q32" s="342"/>
      <c r="R32" s="342"/>
    </row>
    <row r="33" customFormat="false" ht="12.75" hidden="false" customHeight="false" outlineLevel="0" collapsed="false">
      <c r="A33" s="256" t="str">
        <f aca="false">A30</f>
        <v>Obras Portuárias, Marítimas e Fluviais</v>
      </c>
      <c r="B33" s="256" t="s">
        <v>188</v>
      </c>
      <c r="C33" s="256" t="str">
        <f aca="false">CONCATENATE(A33,"-",B33)</f>
        <v>Obras Portuárias, Marítimas e Fluviais-DF</v>
      </c>
      <c r="D33" s="256"/>
      <c r="E33" s="256" t="n">
        <v>0.0094</v>
      </c>
      <c r="F33" s="256" t="n">
        <v>0.0102</v>
      </c>
      <c r="G33" s="256" t="n">
        <v>0.0133</v>
      </c>
      <c r="H33" s="256"/>
      <c r="I33" s="347"/>
      <c r="J33" s="347"/>
      <c r="K33" s="347"/>
      <c r="L33" s="347"/>
      <c r="M33" s="347"/>
      <c r="N33" s="347"/>
      <c r="O33" s="347"/>
      <c r="P33" s="347"/>
      <c r="Q33" s="347"/>
      <c r="R33" s="347"/>
    </row>
    <row r="34" customFormat="false" ht="15" hidden="false" customHeight="false" outlineLevel="0" collapsed="false">
      <c r="A34" s="256" t="str">
        <f aca="false">A33</f>
        <v>Obras Portuárias, Marítimas e Fluviais</v>
      </c>
      <c r="B34" s="256" t="s">
        <v>190</v>
      </c>
      <c r="C34" s="256" t="str">
        <f aca="false">CONCATENATE(A34,"-",B34)</f>
        <v>Obras Portuárias, Marítimas e Fluviais-L</v>
      </c>
      <c r="D34" s="256"/>
      <c r="E34" s="256" t="n">
        <v>0.0714</v>
      </c>
      <c r="F34" s="256" t="n">
        <v>0.084</v>
      </c>
      <c r="G34" s="256" t="n">
        <v>0.1043</v>
      </c>
      <c r="H34" s="256"/>
      <c r="I34" s="348" t="str">
        <f aca="false">CONCATENATE("Declaro para os devidos fins que, conforme legislação tributária municipal, a base de cálculo para ",I12,", é de ",Q14*100,"%, com a respectiva alíquota de ",Q15*100,"%.")</f>
        <v>Declaro para os devidos fins que, conforme legislação tributária municipal, a base de cálculo para Construção e Reforma de Edifícios, é de 60%, com a respectiva alíquota de 3%.</v>
      </c>
      <c r="J34" s="348"/>
      <c r="K34" s="348"/>
      <c r="L34" s="348"/>
      <c r="M34" s="348"/>
      <c r="N34" s="348"/>
      <c r="O34" s="348"/>
      <c r="P34" s="348"/>
      <c r="Q34" s="348"/>
      <c r="R34" s="348"/>
    </row>
    <row r="35" customFormat="false" ht="15" hidden="false" customHeight="false" outlineLevel="0" collapsed="false">
      <c r="A35" s="256" t="str">
        <f aca="false">A34</f>
        <v>Obras Portuárias, Marítimas e Fluviais</v>
      </c>
      <c r="B35" s="256" t="s">
        <v>191</v>
      </c>
      <c r="C35" s="256" t="str">
        <f aca="false">CONCATENATE(A35,"-",B35)</f>
        <v>Obras Portuárias, Marítimas e Fluviais-BDI PAD</v>
      </c>
      <c r="D35" s="256"/>
      <c r="E35" s="256" t="n">
        <v>0.228</v>
      </c>
      <c r="F35" s="256" t="n">
        <v>0.2748</v>
      </c>
      <c r="G35" s="256" t="n">
        <v>0.3095</v>
      </c>
      <c r="H35" s="256"/>
      <c r="I35" s="306"/>
      <c r="J35" s="306"/>
      <c r="K35" s="306"/>
      <c r="L35" s="306"/>
      <c r="M35" s="306"/>
      <c r="N35" s="306"/>
      <c r="O35" s="306"/>
      <c r="P35" s="306"/>
      <c r="Q35" s="306"/>
      <c r="R35" s="306"/>
    </row>
    <row r="36" customFormat="false" ht="15" hidden="false" customHeight="false" outlineLevel="0" collapsed="false">
      <c r="A36" s="256"/>
      <c r="B36" s="256"/>
      <c r="C36" s="256"/>
      <c r="D36" s="256"/>
      <c r="E36" s="256"/>
      <c r="F36" s="256"/>
      <c r="G36" s="256"/>
      <c r="H36" s="256"/>
      <c r="I36" s="306" t="s">
        <v>223</v>
      </c>
      <c r="J36" s="306"/>
      <c r="K36" s="306"/>
      <c r="L36" s="306"/>
      <c r="M36" s="306"/>
      <c r="N36" s="306"/>
      <c r="O36" s="306"/>
      <c r="P36" s="306"/>
      <c r="Q36" s="306"/>
      <c r="R36" s="306"/>
    </row>
    <row r="37" s="351" customFormat="true" ht="15" hidden="false" customHeight="true" outlineLevel="0" collapsed="false">
      <c r="A37" s="349"/>
      <c r="B37" s="349"/>
      <c r="C37" s="349"/>
      <c r="D37" s="349"/>
      <c r="E37" s="349"/>
      <c r="F37" s="349"/>
      <c r="G37" s="349"/>
      <c r="H37" s="349"/>
      <c r="I37" s="350" t="s">
        <v>224</v>
      </c>
      <c r="J37" s="350"/>
      <c r="K37" s="350"/>
      <c r="L37" s="350"/>
      <c r="M37" s="350"/>
      <c r="N37" s="350"/>
      <c r="O37" s="350"/>
      <c r="P37" s="350"/>
      <c r="Q37" s="350"/>
      <c r="R37" s="350"/>
    </row>
    <row r="38" customFormat="false" ht="15" hidden="false" customHeight="false" outlineLevel="0" collapsed="false">
      <c r="A38" s="256"/>
      <c r="B38" s="256"/>
      <c r="C38" s="256"/>
      <c r="D38" s="256"/>
      <c r="E38" s="256"/>
      <c r="F38" s="256"/>
      <c r="G38" s="256"/>
      <c r="H38" s="256"/>
      <c r="I38" s="306"/>
      <c r="J38" s="306"/>
      <c r="K38" s="306"/>
      <c r="L38" s="306"/>
      <c r="M38" s="306"/>
      <c r="N38" s="306"/>
      <c r="O38" s="306"/>
      <c r="P38" s="306"/>
      <c r="Q38" s="306"/>
      <c r="R38" s="306"/>
    </row>
    <row r="39" customFormat="false" ht="15" hidden="false" customHeight="false" outlineLevel="0" collapsed="false">
      <c r="A39" s="256" t="s">
        <v>225</v>
      </c>
      <c r="B39" s="256" t="s">
        <v>182</v>
      </c>
      <c r="C39" s="256" t="str">
        <f aca="false">CONCATENATE(A39,"-",B39)</f>
        <v>Fornecimento de Materiais e Equipamentos-AC</v>
      </c>
      <c r="D39" s="256"/>
      <c r="E39" s="256" t="n">
        <v>0.015</v>
      </c>
      <c r="F39" s="256" t="n">
        <v>0.0345</v>
      </c>
      <c r="G39" s="256" t="n">
        <v>0.0449</v>
      </c>
      <c r="H39" s="256"/>
      <c r="I39" s="352" t="s">
        <v>226</v>
      </c>
      <c r="J39" s="352" t="s">
        <v>227</v>
      </c>
      <c r="K39" s="352"/>
      <c r="L39" s="352"/>
      <c r="M39" s="306"/>
      <c r="N39" s="306"/>
      <c r="O39" s="306"/>
      <c r="P39" s="306"/>
      <c r="Q39" s="306"/>
      <c r="R39" s="353" t="s">
        <v>228</v>
      </c>
    </row>
    <row r="40" customFormat="false" ht="15" hidden="false" customHeight="false" outlineLevel="0" collapsed="false">
      <c r="A40" s="256" t="str">
        <f aca="false">A39</f>
        <v>Fornecimento de Materiais e Equipamentos</v>
      </c>
      <c r="B40" s="256" t="s">
        <v>184</v>
      </c>
      <c r="C40" s="256" t="str">
        <f aca="false">CONCATENATE(A40,"-",B40)</f>
        <v>Fornecimento de Materiais e Equipamentos-SG</v>
      </c>
      <c r="D40" s="256"/>
      <c r="E40" s="256" t="n">
        <v>0.003</v>
      </c>
      <c r="F40" s="256" t="n">
        <v>0.0048</v>
      </c>
      <c r="G40" s="256" t="n">
        <v>0.0082</v>
      </c>
      <c r="H40" s="256"/>
      <c r="I40" s="354"/>
      <c r="J40" s="354"/>
      <c r="K40" s="354"/>
      <c r="L40" s="354"/>
      <c r="M40" s="354"/>
      <c r="N40" s="354"/>
      <c r="O40" s="354"/>
      <c r="P40" s="355" t="s">
        <v>229</v>
      </c>
      <c r="Q40" s="355"/>
      <c r="R40" s="355"/>
    </row>
    <row r="41" customFormat="false" ht="15" hidden="false" customHeight="false" outlineLevel="0" collapsed="false">
      <c r="A41" s="256" t="str">
        <f aca="false">A40</f>
        <v>Fornecimento de Materiais e Equipamentos</v>
      </c>
      <c r="B41" s="256" t="s">
        <v>185</v>
      </c>
      <c r="C41" s="256" t="str">
        <f aca="false">CONCATENATE(A41,"-",B41)</f>
        <v>Fornecimento de Materiais e Equipamentos-R</v>
      </c>
      <c r="D41" s="256"/>
      <c r="E41" s="256" t="n">
        <v>0.0056</v>
      </c>
      <c r="F41" s="256" t="n">
        <v>0.0085</v>
      </c>
      <c r="G41" s="256" t="n">
        <v>0.0089</v>
      </c>
      <c r="H41" s="256"/>
      <c r="I41" s="306"/>
      <c r="J41" s="306"/>
      <c r="K41" s="306"/>
      <c r="L41" s="306"/>
      <c r="M41" s="306"/>
      <c r="N41" s="306"/>
      <c r="O41" s="306"/>
      <c r="P41" s="306"/>
      <c r="Q41" s="306"/>
      <c r="R41" s="306"/>
    </row>
    <row r="42" customFormat="false" ht="15" hidden="false" customHeight="false" outlineLevel="0" collapsed="false">
      <c r="A42" s="256" t="str">
        <f aca="false">A41</f>
        <v>Fornecimento de Materiais e Equipamentos</v>
      </c>
      <c r="B42" s="256" t="s">
        <v>188</v>
      </c>
      <c r="C42" s="256" t="str">
        <f aca="false">CONCATENATE(A42,"-",B42)</f>
        <v>Fornecimento de Materiais e Equipamentos-DF</v>
      </c>
      <c r="D42" s="256"/>
      <c r="E42" s="256" t="n">
        <v>0.0085</v>
      </c>
      <c r="F42" s="256" t="n">
        <v>0.0085</v>
      </c>
      <c r="G42" s="256" t="n">
        <v>0.0111</v>
      </c>
      <c r="H42" s="256"/>
      <c r="I42" s="356"/>
      <c r="J42" s="356"/>
      <c r="K42" s="356"/>
      <c r="L42" s="356"/>
      <c r="M42" s="357"/>
      <c r="N42" s="357"/>
      <c r="O42" s="356"/>
      <c r="P42" s="356"/>
      <c r="Q42" s="356"/>
      <c r="R42" s="356"/>
    </row>
    <row r="43" customFormat="false" ht="15" hidden="false" customHeight="false" outlineLevel="0" collapsed="false">
      <c r="A43" s="256" t="str">
        <f aca="false">A42</f>
        <v>Fornecimento de Materiais e Equipamentos</v>
      </c>
      <c r="B43" s="256" t="s">
        <v>190</v>
      </c>
      <c r="C43" s="256" t="str">
        <f aca="false">CONCATENATE(A43,"-",B43)</f>
        <v>Fornecimento de Materiais e Equipamentos-L</v>
      </c>
      <c r="D43" s="256"/>
      <c r="E43" s="256" t="n">
        <v>0.035</v>
      </c>
      <c r="F43" s="256" t="n">
        <v>0.0511</v>
      </c>
      <c r="G43" s="256" t="n">
        <v>0.0622</v>
      </c>
      <c r="H43" s="256"/>
      <c r="I43" s="358" t="s">
        <v>230</v>
      </c>
      <c r="J43" s="358"/>
      <c r="K43" s="358"/>
      <c r="L43" s="358"/>
      <c r="M43" s="306"/>
      <c r="N43" s="306"/>
      <c r="O43" s="358" t="s">
        <v>231</v>
      </c>
      <c r="P43" s="358"/>
      <c r="Q43" s="358"/>
      <c r="R43" s="358"/>
    </row>
    <row r="44" customFormat="false" ht="15" hidden="false" customHeight="false" outlineLevel="0" collapsed="false">
      <c r="A44" s="256" t="str">
        <f aca="false">A43</f>
        <v>Fornecimento de Materiais e Equipamentos</v>
      </c>
      <c r="B44" s="256" t="s">
        <v>191</v>
      </c>
      <c r="C44" s="256" t="str">
        <f aca="false">CONCATENATE(A44,"-",B44)</f>
        <v>Fornecimento de Materiais e Equipamentos-BDI PAD</v>
      </c>
      <c r="D44" s="256"/>
      <c r="E44" s="256" t="n">
        <v>0.111</v>
      </c>
      <c r="F44" s="256" t="n">
        <v>0.1402</v>
      </c>
      <c r="G44" s="256" t="n">
        <v>0.168</v>
      </c>
      <c r="H44" s="256"/>
      <c r="I44" s="359" t="s">
        <v>232</v>
      </c>
      <c r="J44" s="360" t="s">
        <v>159</v>
      </c>
      <c r="K44" s="360"/>
      <c r="L44" s="360"/>
      <c r="M44" s="357"/>
      <c r="N44" s="357"/>
      <c r="O44" s="359" t="s">
        <v>232</v>
      </c>
      <c r="P44" s="360"/>
      <c r="Q44" s="360"/>
      <c r="R44" s="360"/>
    </row>
    <row r="45" customFormat="false" ht="15" hidden="false" customHeight="false" outlineLevel="0" collapsed="false">
      <c r="A45" s="256" t="s">
        <v>233</v>
      </c>
      <c r="B45" s="256" t="s">
        <v>234</v>
      </c>
      <c r="C45" s="256" t="str">
        <f aca="false">CONCATENATE(A45,"-",B45)</f>
        <v>Estudos e Projetos, Planos e Gerenciamento e outros correlatos-K1</v>
      </c>
      <c r="D45" s="256"/>
      <c r="E45" s="256" t="s">
        <v>209</v>
      </c>
      <c r="F45" s="256" t="s">
        <v>209</v>
      </c>
      <c r="G45" s="256" t="s">
        <v>209</v>
      </c>
      <c r="H45" s="256"/>
      <c r="I45" s="359" t="s">
        <v>235</v>
      </c>
      <c r="J45" s="360" t="s">
        <v>160</v>
      </c>
      <c r="K45" s="360"/>
      <c r="L45" s="360"/>
      <c r="M45" s="357"/>
      <c r="N45" s="357"/>
      <c r="O45" s="359" t="s">
        <v>236</v>
      </c>
      <c r="P45" s="360"/>
      <c r="Q45" s="360"/>
      <c r="R45" s="360"/>
    </row>
    <row r="46" customFormat="false" ht="15" hidden="false" customHeight="false" outlineLevel="0" collapsed="false">
      <c r="A46" s="256" t="str">
        <f aca="false">A45</f>
        <v>Estudos e Projetos, Planos e Gerenciamento e outros correlatos</v>
      </c>
      <c r="B46" s="256" t="s">
        <v>237</v>
      </c>
      <c r="C46" s="256" t="str">
        <f aca="false">CONCATENATE(A46,"-",B46)</f>
        <v>Estudos e Projetos, Planos e Gerenciamento e outros correlatos-K2</v>
      </c>
      <c r="D46" s="256"/>
      <c r="E46" s="256" t="s">
        <v>209</v>
      </c>
      <c r="F46" s="256" t="n">
        <v>0.2</v>
      </c>
      <c r="G46" s="256" t="s">
        <v>209</v>
      </c>
      <c r="H46" s="256"/>
      <c r="I46" s="359"/>
      <c r="J46" s="360"/>
      <c r="K46" s="360"/>
      <c r="L46" s="360"/>
      <c r="M46" s="357"/>
      <c r="N46" s="357"/>
      <c r="O46" s="357"/>
      <c r="P46" s="357"/>
      <c r="Q46" s="357"/>
      <c r="R46" s="357"/>
    </row>
    <row r="47" customFormat="false" ht="12.75" hidden="false" customHeight="false" outlineLevel="0" collapsed="false">
      <c r="A47" s="256" t="str">
        <f aca="false">A46</f>
        <v>Estudos e Projetos, Planos e Gerenciamento e outros correlatos</v>
      </c>
      <c r="B47" s="256"/>
      <c r="C47" s="256" t="str">
        <f aca="false">CONCATENATE(A47,"-",B47)</f>
        <v>Estudos e Projetos, Planos e Gerenciamento e outros correlatos-</v>
      </c>
      <c r="D47" s="256"/>
      <c r="E47" s="256" t="s">
        <v>209</v>
      </c>
      <c r="F47" s="256" t="s">
        <v>209</v>
      </c>
      <c r="G47" s="256" t="s">
        <v>209</v>
      </c>
      <c r="H47" s="256"/>
      <c r="I47" s="256"/>
      <c r="J47" s="256"/>
      <c r="K47" s="256"/>
      <c r="L47" s="256"/>
      <c r="M47" s="256"/>
      <c r="N47" s="256"/>
      <c r="O47" s="256"/>
      <c r="P47" s="256"/>
      <c r="Q47" s="256"/>
      <c r="R47" s="256"/>
    </row>
    <row r="48" customFormat="false" ht="12.75" hidden="false" customHeight="false" outlineLevel="0" collapsed="false">
      <c r="A48" s="256" t="str">
        <f aca="false">A47</f>
        <v>Estudos e Projetos, Planos e Gerenciamento e outros correlatos</v>
      </c>
      <c r="B48" s="256"/>
      <c r="C48" s="256" t="str">
        <f aca="false">CONCATENATE(A48,"-",B48)</f>
        <v>Estudos e Projetos, Planos e Gerenciamento e outros correlatos-</v>
      </c>
      <c r="D48" s="256"/>
      <c r="E48" s="256" t="s">
        <v>209</v>
      </c>
      <c r="F48" s="256" t="s">
        <v>209</v>
      </c>
      <c r="G48" s="256" t="s">
        <v>209</v>
      </c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</row>
    <row r="49" customFormat="false" ht="12.75" hidden="false" customHeight="false" outlineLevel="0" collapsed="false">
      <c r="A49" s="256" t="str">
        <f aca="false">A48</f>
        <v>Estudos e Projetos, Planos e Gerenciamento e outros correlatos</v>
      </c>
      <c r="B49" s="256" t="s">
        <v>238</v>
      </c>
      <c r="C49" s="256" t="str">
        <f aca="false">CONCATENATE(A49,"-",B49)</f>
        <v>Estudos e Projetos, Planos e Gerenciamento e outros correlatos-K3</v>
      </c>
      <c r="D49" s="256"/>
      <c r="E49" s="256" t="s">
        <v>209</v>
      </c>
      <c r="F49" s="256" t="n">
        <v>0.12</v>
      </c>
      <c r="G49" s="256" t="s">
        <v>209</v>
      </c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</row>
    <row r="50" customFormat="false" ht="12.75" hidden="false" customHeight="false" outlineLevel="0" collapsed="false">
      <c r="A50" s="256" t="str">
        <f aca="false">A49</f>
        <v>Estudos e Projetos, Planos e Gerenciamento e outros correlatos</v>
      </c>
      <c r="B50" s="256" t="s">
        <v>191</v>
      </c>
      <c r="C50" s="256" t="str">
        <f aca="false">CONCATENATE(A50,"-",B50)</f>
        <v>Estudos e Projetos, Planos e Gerenciamento e outros correlatos-BDI PAD</v>
      </c>
      <c r="D50" s="256"/>
      <c r="E50" s="256" t="s">
        <v>209</v>
      </c>
      <c r="F50" s="256" t="s">
        <v>209</v>
      </c>
      <c r="G50" s="256" t="s">
        <v>209</v>
      </c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</row>
    <row r="51" customFormat="false" ht="12.75" hidden="false" customHeight="false" outlineLevel="0" collapsed="false">
      <c r="A51" s="256"/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</row>
    <row r="52" customFormat="false" ht="12.75" hidden="false" customHeight="false" outlineLevel="0" collapsed="false">
      <c r="A52" s="256"/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</row>
    <row r="53" customFormat="false" ht="12.75" hidden="false" customHeight="false" outlineLevel="0" collapsed="false">
      <c r="A53" s="256" t="s">
        <v>181</v>
      </c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</row>
    <row r="54" customFormat="false" ht="12.75" hidden="false" customHeight="false" outlineLevel="0" collapsed="false">
      <c r="A54" s="256" t="s">
        <v>193</v>
      </c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</row>
    <row r="55" customFormat="false" ht="12.75" hidden="false" customHeight="false" outlineLevel="0" collapsed="false">
      <c r="A55" s="256" t="s">
        <v>199</v>
      </c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</row>
    <row r="56" customFormat="false" ht="12.75" hidden="false" customHeight="false" outlineLevel="0" collapsed="false">
      <c r="A56" s="256" t="s">
        <v>210</v>
      </c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</row>
    <row r="57" customFormat="false" ht="12.75" hidden="false" customHeight="false" outlineLevel="0" collapsed="false">
      <c r="A57" s="256" t="s">
        <v>218</v>
      </c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</row>
    <row r="58" customFormat="false" ht="12.75" hidden="false" customHeight="false" outlineLevel="0" collapsed="false">
      <c r="A58" s="256" t="s">
        <v>225</v>
      </c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</row>
    <row r="59" customFormat="false" ht="12.75" hidden="false" customHeight="false" outlineLevel="0" collapsed="false">
      <c r="A59" s="256" t="s">
        <v>233</v>
      </c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</row>
  </sheetData>
  <mergeCells count="51">
    <mergeCell ref="Q1:R1"/>
    <mergeCell ref="Q2:R2"/>
    <mergeCell ref="I5:J5"/>
    <mergeCell ref="K5:R5"/>
    <mergeCell ref="I6:J6"/>
    <mergeCell ref="K6:R6"/>
    <mergeCell ref="I8:R8"/>
    <mergeCell ref="I9:R9"/>
    <mergeCell ref="I11:P11"/>
    <mergeCell ref="Q11:R11"/>
    <mergeCell ref="I12:P12"/>
    <mergeCell ref="Q12:R12"/>
    <mergeCell ref="I14:P14"/>
    <mergeCell ref="Q14:R14"/>
    <mergeCell ref="I15:P15"/>
    <mergeCell ref="Q15:R15"/>
    <mergeCell ref="I17:L18"/>
    <mergeCell ref="M17:M18"/>
    <mergeCell ref="N17:N18"/>
    <mergeCell ref="O17:O18"/>
    <mergeCell ref="P17:R17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P28:R28"/>
    <mergeCell ref="I30:R30"/>
    <mergeCell ref="L31:L32"/>
    <mergeCell ref="M31:O31"/>
    <mergeCell ref="P31:P32"/>
    <mergeCell ref="M32:O32"/>
    <mergeCell ref="I34:R34"/>
    <mergeCell ref="I37:R37"/>
    <mergeCell ref="I39:L39"/>
    <mergeCell ref="I40:O40"/>
    <mergeCell ref="P40:R40"/>
    <mergeCell ref="I42:L42"/>
    <mergeCell ref="O42:R42"/>
    <mergeCell ref="I43:L43"/>
    <mergeCell ref="O43:R43"/>
    <mergeCell ref="J44:L44"/>
    <mergeCell ref="P44:R44"/>
    <mergeCell ref="J45:L45"/>
    <mergeCell ref="P45:R45"/>
    <mergeCell ref="J46:L46"/>
  </mergeCells>
  <conditionalFormatting sqref="I40 P44:R45 J44:L46">
    <cfRule type="expression" priority="2" aboveAverage="0" equalAverage="0" bottom="0" percent="0" rank="0" text="" dxfId="0">
      <formula>NA()</formula>
    </cfRule>
  </conditionalFormatting>
  <conditionalFormatting sqref="I27:N27">
    <cfRule type="expression" priority="3" aboveAverage="0" equalAverage="0" bottom="0" percent="0" rank="0" text="" dxfId="1">
      <formula>$Q$12="Não"</formula>
    </cfRule>
  </conditionalFormatting>
  <conditionalFormatting sqref="I28:N28">
    <cfRule type="expression" priority="4" aboveAverage="0" equalAverage="0" bottom="0" percent="0" rank="0" text="" dxfId="2">
      <formula>$Q$12="sim"</formula>
    </cfRule>
  </conditionalFormatting>
  <conditionalFormatting sqref="I14:R15 I34:R34">
    <cfRule type="expression" priority="5" aboveAverage="0" equalAverage="0" bottom="0" percent="0" rank="0" text="" dxfId="3">
      <formula>$I$12=$A$58</formula>
    </cfRule>
  </conditionalFormatting>
  <conditionalFormatting sqref="O19:O28">
    <cfRule type="cellIs" priority="6" operator="equal" aboveAverage="0" equalAverage="0" bottom="0" percent="0" rank="0" text="" dxfId="4">
      <formula>"NÃO OK"</formula>
    </cfRule>
    <cfRule type="cellIs" priority="7" operator="equal" aboveAverage="0" equalAverage="0" bottom="0" percent="0" rank="0" text="" dxfId="5">
      <formula>"OK"</formula>
    </cfRule>
  </conditionalFormatting>
  <conditionalFormatting sqref="P28:R28">
    <cfRule type="expression" priority="8" aboveAverage="0" equalAverage="0" bottom="0" percent="0" rank="0" text="" dxfId="6">
      <formula>$Q$12="sim"</formula>
    </cfRule>
  </conditionalFormatting>
  <conditionalFormatting sqref="P40:R40">
    <cfRule type="expression" priority="9" aboveAverage="0" equalAverage="0" bottom="0" percent="0" rank="0" text="" dxfId="7">
      <formula>$P$40=""</formula>
    </cfRule>
  </conditionalFormatting>
  <dataValidations count="7">
    <dataValidation allowBlank="true" errorStyle="stop" operator="between" showDropDown="false" showErrorMessage="true" showInputMessage="false" sqref="Q12:R12" type="list">
      <formula1>"Sim,Não"</formula1>
      <formula2>0</formula2>
    </dataValidation>
    <dataValidation allowBlank="true" errorStyle="stop" operator="between" showDropDown="false" showErrorMessage="true" showInputMessage="false" sqref="I12:P12" type="list">
      <formula1>$A$53:$A$59</formula1>
      <formula2>0</formula2>
    </dataValidation>
    <dataValidation allowBlank="true" error="Digite um valor igual a 0% ou 2%." errorStyle="stop" errorTitle="Erro de valores" operator="greaterThanOrEqual" showDropDown="false" showErrorMessage="true" showInputMessage="false" sqref="N26" type="none">
      <formula1>0</formula1>
      <formula2>0</formula2>
    </dataValidation>
    <dataValidation allowBlank="true" error="Digite um valor maior do que 0." errorStyle="stop" errorTitle="Erro de valores" operator="between" showDropDown="false" showErrorMessage="true" showInputMessage="false" sqref="N25" type="decimal">
      <formula1>0</formula1>
      <formula2>1</formula2>
    </dataValidation>
    <dataValidation allowBlank="true" error="Digite um percentual entre 0% e 100%." errorStyle="stop" errorTitle="Valor não permitido" operator="between" prompt="Insira valores entre 0 e 100%." promptTitle="Valores admissíveis:" showDropDown="false" showErrorMessage="true" showInputMessage="true" sqref="Q14:R14" type="decimal">
      <formula1>0</formula1>
      <formula2>1</formula2>
    </dataValidation>
    <dataValidation allowBlank="true" error="Digite um percentual entre 0% e 100%." errorStyle="stop" errorTitle="Valor não permitido" operator="greaterThanOrEqual" prompt="Normalmente entre 2 e 5%." promptTitle="Valores comuns:" showDropDown="false" showErrorMessage="true" showInputMessage="true" sqref="Q15:R15" type="decimal">
      <formula1>0</formula1>
      <formula2>0</formula2>
    </dataValidation>
    <dataValidation allowBlank="true" error="Digite um valor entre 0% e 100%" errorStyle="stop" errorTitle="Erro de valores" operator="between" showDropDown="false" showErrorMessage="true" showInputMessage="false" sqref="N19:N24" type="decimal">
      <formula1>0</formula1>
      <formula2>1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8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2011-11-25T17:08:52Z</dcterms:created>
  <dc:creator>Genifer Cardoso Born</dc:creator>
  <dc:description/>
  <dc:language>pt-BR</dc:language>
  <cp:lastModifiedBy>Rafaela</cp:lastModifiedBy>
  <cp:lastPrinted>2023-11-08T17:42:44Z</cp:lastPrinted>
  <dcterms:modified xsi:type="dcterms:W3CDTF">2023-11-08T17:43:19Z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2886424c781140cbae506fbb65b150c0</vt:lpwstr>
  </property>
</Properties>
</file>